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Q:\Carrier Letters\Carrier Letters 2020\2020-07 Experience Rated Proposals\"/>
    </mc:Choice>
  </mc:AlternateContent>
  <xr:revisionPtr revIDLastSave="0" documentId="8_{49D12412-223A-4F6F-B6E2-7E67369EC0C3}" xr6:coauthVersionLast="44" xr6:coauthVersionMax="44" xr10:uidLastSave="{00000000-0000-0000-0000-000000000000}"/>
  <bookViews>
    <workbookView xWindow="-110" yWindow="-110" windowWidth="19420" windowHeight="10420" tabRatio="784" xr2:uid="{00000000-000D-0000-FFFF-FFFF00000000}"/>
  </bookViews>
  <sheets>
    <sheet name="Instructions" sheetId="5" r:id="rId1"/>
    <sheet name="Proposal Questions" sheetId="24" r:id="rId2"/>
    <sheet name="Rate Proposal - 5 year" sheetId="1" r:id="rId3"/>
    <sheet name="Table1 - 5 year" sheetId="3" r:id="rId4"/>
    <sheet name="Table2 - 5 year" sheetId="4" r:id="rId5"/>
    <sheet name="Rate Proposal - 4 year" sheetId="11" r:id="rId6"/>
    <sheet name="Table1 - 4 year" sheetId="13" r:id="rId7"/>
    <sheet name="Table2 - 4 year" sheetId="14" r:id="rId8"/>
    <sheet name="Rate Proposal - 3 year" sheetId="7" r:id="rId9"/>
    <sheet name="Table1 - 3 year" sheetId="9" r:id="rId10"/>
    <sheet name="Table2 - 3 year" sheetId="10" r:id="rId11"/>
    <sheet name="Rate Proposal - 2 year" sheetId="18" r:id="rId12"/>
    <sheet name="Table2 - 2 year" sheetId="25" r:id="rId13"/>
    <sheet name="Rate Proposal - 1 year" sheetId="17" r:id="rId14"/>
    <sheet name="Table 3" sheetId="16" r:id="rId15"/>
    <sheet name="Help" sheetId="6" r:id="rId16"/>
    <sheet name="Rate Proposal - Example" sheetId="19" r:id="rId17"/>
    <sheet name="Table1 - Example" sheetId="21" r:id="rId18"/>
    <sheet name="Table2 - Example" sheetId="22" r:id="rId19"/>
  </sheets>
  <definedNames>
    <definedName name="Code">'Proposal Questions'!$D$9</definedName>
    <definedName name="FiveNoSpecialPayment1">'Rate Proposal - 5 year'!$U$1</definedName>
    <definedName name="FiveNoSpecialPayment2">'Rate Proposal - 5 year'!$U$4</definedName>
    <definedName name="FiveSpecialPayment1">'Rate Proposal - 5 year'!$U$1</definedName>
    <definedName name="FiveSpecialPayment2">'Rate Proposal - 5 year'!#REF!</definedName>
    <definedName name="FiveYrNoSpecialPayment1">'Rate Proposal - 5 year'!$U$1</definedName>
    <definedName name="FourNoSpecialPayment1">'Rate Proposal - 4 year'!$U$1</definedName>
    <definedName name="FourNoSpecialPayment2">'Rate Proposal - 4 year'!$U$4</definedName>
    <definedName name="FYear">'Proposal Questions'!$G$11</definedName>
    <definedName name="FYear1">'Proposal Questions'!$Q$1</definedName>
    <definedName name="FYear2">'Proposal Questions'!$Q$2</definedName>
    <definedName name="FYear3">'Proposal Questions'!$Q$3</definedName>
    <definedName name="FYear4">'Proposal Questions'!$Q$4</definedName>
    <definedName name="FYear5">'Proposal Questions'!$Q$5</definedName>
    <definedName name="GovtMaxF">'Proposal Questions'!$M$3</definedName>
    <definedName name="GovtMaxP">'Proposal Questions'!$M$2</definedName>
    <definedName name="GovtMaxS">'Proposal Questions'!$M$1</definedName>
    <definedName name="NoSpecialPayment1">'Rate Proposal - Example'!$U$1</definedName>
    <definedName name="NoSpecialPayment2">'Rate Proposal - Example'!$U$4</definedName>
    <definedName name="OPMadmin">'Proposal Questions'!$L$11</definedName>
    <definedName name="Option">'Proposal Questions'!$D$11</definedName>
    <definedName name="Plan">'Proposal Questions'!$D$7</definedName>
    <definedName name="PlanType">'Proposal Questions'!$I$11</definedName>
    <definedName name="_xlnm.Print_Area" localSheetId="15">Help!$A$1:$M$285</definedName>
    <definedName name="_xlnm.Print_Area" localSheetId="0">Instructions!$A$1:$F$43</definedName>
    <definedName name="_xlnm.Print_Area" localSheetId="1">'Proposal Questions'!$A$1:$J$118</definedName>
    <definedName name="_xlnm.Print_Area" localSheetId="13">'Rate Proposal - 1 year'!$A$1:$J$68</definedName>
    <definedName name="_xlnm.Print_Area" localSheetId="11">'Rate Proposal - 2 year'!$A$1:$J$165</definedName>
    <definedName name="_xlnm.Print_Area" localSheetId="8">'Rate Proposal - 3 year'!$A$1:$K$282</definedName>
    <definedName name="_xlnm.Print_Area" localSheetId="5">'Rate Proposal - 4 year'!$A$1:$K$282</definedName>
    <definedName name="_xlnm.Print_Area" localSheetId="2">'Rate Proposal - 5 year'!$A$1:$K$282</definedName>
    <definedName name="_xlnm.Print_Area" localSheetId="16">'Rate Proposal - Example'!$A$1:$K$282</definedName>
    <definedName name="_xlnm.Print_Area" localSheetId="14">'Table 3'!$A$1:$E$10</definedName>
    <definedName name="_xlnm.Print_Area" localSheetId="9">'Table1 - 3 year'!$A$1:$I$26</definedName>
    <definedName name="_xlnm.Print_Area" localSheetId="6">'Table1 - 4 year'!$A$1:$I$26</definedName>
    <definedName name="_xlnm.Print_Area" localSheetId="3">'Table1 - 5 year'!$A$1:$I$26</definedName>
    <definedName name="_xlnm.Print_Area" localSheetId="17">'Table1 - Example'!$A$1:$I$26</definedName>
    <definedName name="_xlnm.Print_Area" localSheetId="12">'Table2 - 2 year'!$A$1:$G$35</definedName>
    <definedName name="_xlnm.Print_Area" localSheetId="10">'Table2 - 3 year'!$A$1:$G$35</definedName>
    <definedName name="_xlnm.Print_Area" localSheetId="7">'Table2 - 4 year'!$A$1:$G$35</definedName>
    <definedName name="_xlnm.Print_Area" localSheetId="4">'Table2 - 5 year'!$A$1:$G$35</definedName>
    <definedName name="_xlnm.Print_Area" localSheetId="18">'Table2 - Example'!$A$1:$G$35</definedName>
    <definedName name="_xlnm.Print_Titles" localSheetId="15">Help!$1:$2</definedName>
    <definedName name="_xlnm.Print_Titles" localSheetId="1">'Proposal Questions'!$1:$3</definedName>
    <definedName name="_xlnm.Print_Titles" localSheetId="11">'Rate Proposal - 2 year'!$1:$2</definedName>
    <definedName name="_xlnm.Print_Titles" localSheetId="8">'Rate Proposal - 3 year'!$1:$3</definedName>
    <definedName name="_xlnm.Print_Titles" localSheetId="5">'Rate Proposal - 4 year'!$1:$3</definedName>
    <definedName name="_xlnm.Print_Titles" localSheetId="2">'Rate Proposal - 5 year'!$1:$3</definedName>
    <definedName name="_xlnm.Print_Titles" localSheetId="16">'Rate Proposal - Example'!$1:$3</definedName>
    <definedName name="QNoSpecialPayment1">'Proposal Questions'!$L$1</definedName>
    <definedName name="SpecialPayment1">'Proposal Questions'!$L$1</definedName>
    <definedName name="SpecialPayment2">'Proposal Questions'!#REF!</definedName>
    <definedName name="ThreeNoSpecialPayment1">'Rate Proposal - 3 year'!$U$1</definedName>
    <definedName name="ThreeNoSpecialPayment2">'Rate Proposal - 3 year'!$U$4</definedName>
    <definedName name="year">'Proposal Questions'!$F$2</definedName>
    <definedName name="Yr1CR">'Proposal Questions'!$L$8</definedName>
    <definedName name="Yr1LOC">'Proposal Questions'!$L$6</definedName>
    <definedName name="Yr2CR">'Proposal Questions'!$M$8</definedName>
    <definedName name="Yr2LOC">'Proposal Questions'!$M$6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0" i="24" l="1"/>
  <c r="E25" i="22" l="1"/>
  <c r="F25" i="22"/>
  <c r="G25" i="22"/>
  <c r="B44" i="24" l="1"/>
  <c r="A2" i="19" l="1"/>
  <c r="A3" i="25"/>
  <c r="A2" i="25"/>
  <c r="A3" i="10"/>
  <c r="A2" i="10"/>
  <c r="A3" i="9"/>
  <c r="A2" i="9"/>
  <c r="A3" i="14"/>
  <c r="A2" i="14"/>
  <c r="A2" i="4"/>
  <c r="A3" i="13"/>
  <c r="A2" i="13"/>
  <c r="A3" i="4"/>
  <c r="A2" i="3"/>
  <c r="A3" i="3"/>
  <c r="A2" i="1"/>
  <c r="A2" i="17" l="1"/>
  <c r="A2" i="18"/>
  <c r="A2" i="7"/>
  <c r="A2" i="11"/>
  <c r="F269" i="19" l="1"/>
  <c r="F230" i="19"/>
  <c r="F231" i="19" s="1"/>
  <c r="F269" i="11"/>
  <c r="F230" i="11"/>
  <c r="F269" i="7"/>
  <c r="F230" i="7"/>
  <c r="G136" i="18"/>
  <c r="G95" i="18"/>
  <c r="I43" i="17"/>
  <c r="A207" i="6"/>
  <c r="A205" i="6"/>
  <c r="F229" i="19" l="1"/>
  <c r="A145" i="6"/>
  <c r="A215" i="6"/>
  <c r="A163" i="6"/>
  <c r="A31" i="5"/>
  <c r="A3" i="16" l="1"/>
  <c r="A29" i="6" l="1"/>
  <c r="A225" i="6" l="1"/>
  <c r="A280" i="6"/>
  <c r="A284" i="6"/>
  <c r="A251" i="6"/>
  <c r="A274" i="19" l="1"/>
  <c r="A267" i="19"/>
  <c r="A235" i="19"/>
  <c r="A228" i="19"/>
  <c r="A267" i="7"/>
  <c r="A274" i="7"/>
  <c r="A235" i="7"/>
  <c r="A228" i="7"/>
  <c r="A274" i="11"/>
  <c r="A267" i="11"/>
  <c r="A235" i="11"/>
  <c r="A228" i="11"/>
  <c r="A274" i="1"/>
  <c r="A267" i="1"/>
  <c r="A235" i="1"/>
  <c r="A228" i="1"/>
  <c r="A247" i="1"/>
  <c r="A268" i="1"/>
  <c r="A276" i="19"/>
  <c r="A247" i="19"/>
  <c r="A268" i="19"/>
  <c r="A237" i="19"/>
  <c r="A229" i="19"/>
  <c r="A88" i="19"/>
  <c r="A87" i="19"/>
  <c r="A229" i="1"/>
  <c r="A237" i="1"/>
  <c r="A276" i="1"/>
  <c r="A276" i="11"/>
  <c r="A268" i="11"/>
  <c r="A247" i="11"/>
  <c r="A237" i="11"/>
  <c r="A229" i="11"/>
  <c r="A276" i="7"/>
  <c r="A268" i="7"/>
  <c r="A247" i="7"/>
  <c r="A237" i="7"/>
  <c r="A229" i="7"/>
  <c r="A88" i="7"/>
  <c r="A87" i="7"/>
  <c r="A88" i="11"/>
  <c r="A87" i="11"/>
  <c r="A88" i="1"/>
  <c r="A87" i="1"/>
  <c r="A262" i="1" l="1"/>
  <c r="G30" i="19" l="1"/>
  <c r="I54" i="19" l="1"/>
  <c r="H18" i="17"/>
  <c r="I29" i="18"/>
  <c r="I54" i="7"/>
  <c r="I54" i="11"/>
  <c r="I54" i="1"/>
  <c r="F28" i="1" l="1"/>
  <c r="F28" i="11"/>
  <c r="G30" i="7"/>
  <c r="F28" i="7"/>
  <c r="F29" i="19"/>
  <c r="F28" i="19"/>
  <c r="F27" i="19"/>
  <c r="F30" i="19" l="1"/>
  <c r="H27" i="19" s="1"/>
  <c r="H29" i="19" l="1"/>
  <c r="H28" i="19"/>
  <c r="H30" i="19" l="1"/>
  <c r="F99" i="19" l="1"/>
  <c r="F99" i="7"/>
  <c r="F99" i="11"/>
  <c r="F99" i="1"/>
  <c r="A47" i="19" l="1"/>
  <c r="B15" i="17"/>
  <c r="A22" i="18"/>
  <c r="A47" i="7"/>
  <c r="A47" i="11"/>
  <c r="A47" i="1"/>
  <c r="B59" i="19" l="1"/>
  <c r="B34" i="18"/>
  <c r="B59" i="7"/>
  <c r="B59" i="11"/>
  <c r="B59" i="1"/>
  <c r="B59" i="24" l="1"/>
  <c r="G5" i="25"/>
  <c r="A6" i="5" l="1"/>
  <c r="G43" i="18" l="1"/>
  <c r="B82" i="24" l="1"/>
  <c r="B40" i="24"/>
  <c r="A20" i="24"/>
  <c r="B34" i="24"/>
  <c r="B27" i="24"/>
  <c r="A83" i="6"/>
  <c r="A65" i="6"/>
  <c r="A66" i="6"/>
  <c r="B66" i="24" l="1"/>
  <c r="B63" i="24"/>
  <c r="B60" i="24"/>
  <c r="B55" i="24"/>
  <c r="B52" i="24"/>
  <c r="G33" i="25"/>
  <c r="A31" i="25"/>
  <c r="A30" i="25"/>
  <c r="A29" i="25"/>
  <c r="A28" i="25"/>
  <c r="A31" i="10"/>
  <c r="A30" i="10"/>
  <c r="A29" i="10"/>
  <c r="A28" i="10"/>
  <c r="G33" i="22"/>
  <c r="G33" i="10"/>
  <c r="A31" i="14"/>
  <c r="A30" i="14"/>
  <c r="A29" i="14"/>
  <c r="A28" i="14"/>
  <c r="G33" i="14"/>
  <c r="A31" i="4"/>
  <c r="A30" i="4"/>
  <c r="A29" i="4"/>
  <c r="A28" i="4"/>
  <c r="G33" i="4"/>
  <c r="A31" i="22"/>
  <c r="A30" i="22"/>
  <c r="A29" i="22"/>
  <c r="A28" i="22"/>
  <c r="A9" i="24" l="1"/>
  <c r="A11" i="24" s="1"/>
  <c r="A13" i="24" s="1"/>
  <c r="A15" i="24" s="1"/>
  <c r="B91" i="24"/>
  <c r="B87" i="24"/>
  <c r="B83" i="24"/>
  <c r="A17" i="24" l="1"/>
  <c r="D24" i="17"/>
  <c r="E24" i="17" s="1"/>
  <c r="F24" i="17" s="1"/>
  <c r="E31" i="18"/>
  <c r="C31" i="18"/>
  <c r="D31" i="18" s="1"/>
  <c r="F31" i="18" s="1"/>
  <c r="E33" i="18"/>
  <c r="E32" i="18"/>
  <c r="E56" i="7"/>
  <c r="A27" i="24" l="1"/>
  <c r="A13" i="5"/>
  <c r="A4" i="24"/>
  <c r="A34" i="24"/>
  <c r="A40" i="24" s="1"/>
  <c r="A44" i="24" s="1"/>
  <c r="A51" i="24" s="1"/>
  <c r="A59" i="24" s="1"/>
  <c r="A70" i="24" s="1"/>
  <c r="A82" i="24" s="1"/>
  <c r="A96" i="24" s="1"/>
  <c r="A100" i="24" s="1"/>
  <c r="A104" i="24" s="1"/>
  <c r="D26" i="17"/>
  <c r="E26" i="17" s="1"/>
  <c r="F26" i="17" s="1"/>
  <c r="D25" i="17"/>
  <c r="E25" i="17" s="1"/>
  <c r="F25" i="17" s="1"/>
  <c r="C33" i="18"/>
  <c r="D33" i="18" s="1"/>
  <c r="F33" i="18" s="1"/>
  <c r="C32" i="18"/>
  <c r="D32" i="18" s="1"/>
  <c r="F32" i="18" s="1"/>
  <c r="E58" i="7"/>
  <c r="C58" i="7"/>
  <c r="D58" i="7" s="1"/>
  <c r="F58" i="7" s="1"/>
  <c r="E57" i="7"/>
  <c r="C57" i="7"/>
  <c r="D57" i="7" s="1"/>
  <c r="F57" i="7" s="1"/>
  <c r="C56" i="7"/>
  <c r="D56" i="7" s="1"/>
  <c r="E58" i="11"/>
  <c r="C58" i="11"/>
  <c r="D58" i="11" s="1"/>
  <c r="F58" i="11" s="1"/>
  <c r="E57" i="11"/>
  <c r="C57" i="11"/>
  <c r="D57" i="11" s="1"/>
  <c r="F57" i="11" s="1"/>
  <c r="E56" i="11"/>
  <c r="C56" i="11"/>
  <c r="D56" i="11" s="1"/>
  <c r="F56" i="11" s="1"/>
  <c r="E58" i="1"/>
  <c r="E57" i="1"/>
  <c r="E56" i="1"/>
  <c r="C58" i="1"/>
  <c r="D58" i="1" s="1"/>
  <c r="F58" i="1" s="1"/>
  <c r="C57" i="1"/>
  <c r="D57" i="1" s="1"/>
  <c r="F57" i="1" s="1"/>
  <c r="C56" i="1"/>
  <c r="D56" i="1" s="1"/>
  <c r="F56" i="1" s="1"/>
  <c r="E58" i="19"/>
  <c r="E57" i="19"/>
  <c r="C58" i="19"/>
  <c r="D58" i="19" s="1"/>
  <c r="F58" i="19" s="1"/>
  <c r="C57" i="19"/>
  <c r="D57" i="19" s="1"/>
  <c r="F57" i="19" s="1"/>
  <c r="C56" i="19"/>
  <c r="D56" i="19" s="1"/>
  <c r="F56" i="19" s="1"/>
  <c r="E56" i="19"/>
  <c r="G9" i="21"/>
  <c r="A108" i="24" l="1"/>
  <c r="A113" i="24" s="1"/>
  <c r="B108" i="24"/>
  <c r="G58" i="1"/>
  <c r="G58" i="11"/>
  <c r="G57" i="11"/>
  <c r="G56" i="1"/>
  <c r="F56" i="7"/>
  <c r="G56" i="7" s="1"/>
  <c r="G57" i="1"/>
  <c r="G57" i="7"/>
  <c r="G58" i="7"/>
  <c r="G56" i="11"/>
  <c r="G32" i="18"/>
  <c r="G33" i="18"/>
  <c r="G31" i="18"/>
  <c r="A25" i="5" l="1"/>
  <c r="A24" i="24"/>
  <c r="A17" i="5"/>
  <c r="B58" i="18"/>
  <c r="A23" i="5" l="1"/>
  <c r="G56" i="19" l="1"/>
  <c r="B104" i="24" l="1"/>
  <c r="C18" i="17" l="1"/>
  <c r="F25" i="18"/>
  <c r="B25" i="18"/>
  <c r="F50" i="7"/>
  <c r="B50" i="7"/>
  <c r="F50" i="11"/>
  <c r="B50" i="11"/>
  <c r="F50" i="19"/>
  <c r="B50" i="19"/>
  <c r="F50" i="1"/>
  <c r="B50" i="1"/>
  <c r="D148" i="7" l="1"/>
  <c r="F158" i="7" s="1"/>
  <c r="G31" i="25"/>
  <c r="G30" i="25"/>
  <c r="E81" i="18"/>
  <c r="E80" i="18"/>
  <c r="C81" i="18"/>
  <c r="C80" i="18"/>
  <c r="G80" i="18" s="1"/>
  <c r="E76" i="18"/>
  <c r="E75" i="18"/>
  <c r="E15" i="25"/>
  <c r="G15" i="25"/>
  <c r="F15" i="25"/>
  <c r="G13" i="25"/>
  <c r="G23" i="25" s="1"/>
  <c r="E5" i="25"/>
  <c r="E11" i="25" s="1"/>
  <c r="F5" i="25"/>
  <c r="F13" i="25" s="1"/>
  <c r="F23" i="25" s="1"/>
  <c r="G27" i="25"/>
  <c r="A25" i="25"/>
  <c r="A23" i="25"/>
  <c r="A21" i="25"/>
  <c r="A19" i="25"/>
  <c r="A17" i="25"/>
  <c r="A15" i="25"/>
  <c r="A13" i="25"/>
  <c r="A11" i="25"/>
  <c r="A9" i="25"/>
  <c r="A7" i="25"/>
  <c r="A5" i="25"/>
  <c r="G81" i="18" l="1"/>
  <c r="G29" i="25" s="1"/>
  <c r="F25" i="25"/>
  <c r="G25" i="25"/>
  <c r="E13" i="25"/>
  <c r="E23" i="25" s="1"/>
  <c r="E25" i="25"/>
  <c r="E21" i="25"/>
  <c r="F11" i="25"/>
  <c r="F21" i="25" s="1"/>
  <c r="G11" i="25"/>
  <c r="G21" i="25" s="1"/>
  <c r="F9" i="25" l="1"/>
  <c r="F19" i="25" s="1"/>
  <c r="E9" i="25"/>
  <c r="E19" i="25" s="1"/>
  <c r="G9" i="25"/>
  <c r="G19" i="25" s="1"/>
  <c r="D120" i="19"/>
  <c r="Q5" i="24" l="1"/>
  <c r="Q4" i="24"/>
  <c r="Q3" i="24"/>
  <c r="Q2" i="24"/>
  <c r="Q1" i="24"/>
  <c r="T1" i="19" l="1"/>
  <c r="A283" i="6" l="1"/>
  <c r="A279" i="6"/>
  <c r="T6" i="19" l="1"/>
  <c r="T5" i="19"/>
  <c r="T4" i="19"/>
  <c r="T3" i="19"/>
  <c r="T2" i="19"/>
  <c r="U4" i="19" l="1"/>
  <c r="U1" i="19"/>
  <c r="T1" i="1"/>
  <c r="T6" i="1"/>
  <c r="T5" i="1"/>
  <c r="T4" i="1"/>
  <c r="T3" i="1"/>
  <c r="T2" i="1"/>
  <c r="A277" i="6"/>
  <c r="A275" i="6"/>
  <c r="A274" i="6"/>
  <c r="F236" i="11"/>
  <c r="A136" i="6"/>
  <c r="A109" i="6"/>
  <c r="A39" i="17" l="1"/>
  <c r="B54" i="17"/>
  <c r="C52" i="17"/>
  <c r="C51" i="17"/>
  <c r="C50" i="17"/>
  <c r="C49" i="17"/>
  <c r="C48" i="17"/>
  <c r="C45" i="17"/>
  <c r="C44" i="17"/>
  <c r="C43" i="17"/>
  <c r="C42" i="17"/>
  <c r="B41" i="17"/>
  <c r="B34" i="17"/>
  <c r="B30" i="17"/>
  <c r="B29" i="17"/>
  <c r="F22" i="17"/>
  <c r="E22" i="17"/>
  <c r="D22" i="17"/>
  <c r="B5" i="17"/>
  <c r="A148" i="18"/>
  <c r="A147" i="18"/>
  <c r="A146" i="18"/>
  <c r="A145" i="18"/>
  <c r="A144" i="18"/>
  <c r="A143" i="18"/>
  <c r="A142" i="18"/>
  <c r="A141" i="18"/>
  <c r="A138" i="18"/>
  <c r="A137" i="18"/>
  <c r="A136" i="18"/>
  <c r="A130" i="18"/>
  <c r="A129" i="18"/>
  <c r="A126" i="18"/>
  <c r="A125" i="18"/>
  <c r="A124" i="18"/>
  <c r="A150" i="18"/>
  <c r="A123" i="18"/>
  <c r="A93" i="18"/>
  <c r="A121" i="18"/>
  <c r="A100" i="18"/>
  <c r="A106" i="18"/>
  <c r="A104" i="18"/>
  <c r="A102" i="18"/>
  <c r="A101" i="18"/>
  <c r="A103" i="18"/>
  <c r="A96" i="18"/>
  <c r="A97" i="18"/>
  <c r="A95" i="18"/>
  <c r="A94" i="18"/>
  <c r="A91" i="18"/>
  <c r="A51" i="18"/>
  <c r="A49" i="18"/>
  <c r="A47" i="18"/>
  <c r="A45" i="18"/>
  <c r="A43" i="18"/>
  <c r="A41" i="18"/>
  <c r="A39" i="18"/>
  <c r="A38" i="18"/>
  <c r="A5" i="18"/>
  <c r="A87" i="18" l="1"/>
  <c r="A86" i="18"/>
  <c r="A85" i="18"/>
  <c r="A84" i="18"/>
  <c r="B81" i="18"/>
  <c r="B80" i="18"/>
  <c r="B76" i="18"/>
  <c r="B75" i="18"/>
  <c r="B71" i="18"/>
  <c r="B70" i="18"/>
  <c r="A64" i="18"/>
  <c r="A63" i="18"/>
  <c r="A58" i="18"/>
  <c r="A57" i="18"/>
  <c r="A40" i="18"/>
  <c r="F29" i="18"/>
  <c r="E29" i="18"/>
  <c r="D29" i="18"/>
  <c r="C29" i="18"/>
  <c r="A16" i="18"/>
  <c r="A10" i="18"/>
  <c r="G27" i="10"/>
  <c r="A25" i="10"/>
  <c r="A23" i="10"/>
  <c r="A21" i="10"/>
  <c r="A19" i="10"/>
  <c r="A17" i="10"/>
  <c r="A15" i="10"/>
  <c r="A13" i="10"/>
  <c r="A11" i="10"/>
  <c r="A9" i="10"/>
  <c r="A7" i="10"/>
  <c r="A5" i="10"/>
  <c r="I5" i="9"/>
  <c r="H5" i="9"/>
  <c r="G5" i="9"/>
  <c r="A259" i="7"/>
  <c r="A220" i="7"/>
  <c r="A205" i="7"/>
  <c r="A204" i="7"/>
  <c r="A196" i="7"/>
  <c r="A160" i="7"/>
  <c r="A112" i="7"/>
  <c r="A22" i="7"/>
  <c r="F54" i="7"/>
  <c r="E54" i="7"/>
  <c r="D54" i="7"/>
  <c r="C54" i="7"/>
  <c r="F54" i="11"/>
  <c r="E54" i="11"/>
  <c r="D54" i="11"/>
  <c r="C54" i="11"/>
  <c r="A217" i="7"/>
  <c r="A215" i="7"/>
  <c r="A214" i="7"/>
  <c r="A213" i="7"/>
  <c r="A212" i="7"/>
  <c r="A211" i="7"/>
  <c r="A210" i="7"/>
  <c r="A209" i="7"/>
  <c r="A208" i="7"/>
  <c r="A207" i="7"/>
  <c r="A206" i="7"/>
  <c r="A198" i="7"/>
  <c r="A190" i="7"/>
  <c r="A189" i="7"/>
  <c r="B187" i="7"/>
  <c r="B186" i="7"/>
  <c r="B185" i="7"/>
  <c r="B180" i="7"/>
  <c r="B179" i="7"/>
  <c r="B178" i="7"/>
  <c r="A172" i="7"/>
  <c r="A171" i="7"/>
  <c r="A170" i="7"/>
  <c r="A166" i="7"/>
  <c r="A165" i="7"/>
  <c r="A164" i="7"/>
  <c r="A162" i="7"/>
  <c r="A161" i="7"/>
  <c r="A158" i="7"/>
  <c r="A157" i="7"/>
  <c r="A156" i="7"/>
  <c r="A155" i="7"/>
  <c r="B148" i="7"/>
  <c r="B147" i="7"/>
  <c r="B146" i="7"/>
  <c r="B140" i="7"/>
  <c r="B139" i="7"/>
  <c r="B138" i="7"/>
  <c r="B129" i="7"/>
  <c r="B128" i="7"/>
  <c r="B127" i="7"/>
  <c r="C115" i="7"/>
  <c r="B115" i="7"/>
  <c r="F97" i="7"/>
  <c r="D97" i="7"/>
  <c r="B97" i="7"/>
  <c r="F84" i="7"/>
  <c r="D84" i="7"/>
  <c r="B84" i="7"/>
  <c r="A82" i="7"/>
  <c r="F80" i="7"/>
  <c r="D80" i="7"/>
  <c r="B80" i="7"/>
  <c r="A78" i="7"/>
  <c r="A75" i="7"/>
  <c r="F73" i="7"/>
  <c r="D73" i="7"/>
  <c r="B73" i="7"/>
  <c r="H69" i="7"/>
  <c r="F69" i="7"/>
  <c r="D69" i="7"/>
  <c r="B69" i="7"/>
  <c r="A67" i="7"/>
  <c r="F65" i="7"/>
  <c r="D65" i="7"/>
  <c r="B65" i="7"/>
  <c r="A63" i="7"/>
  <c r="A43" i="7"/>
  <c r="A37" i="7"/>
  <c r="A32" i="7"/>
  <c r="A27" i="7"/>
  <c r="H5" i="7"/>
  <c r="D5" i="7"/>
  <c r="A25" i="14"/>
  <c r="A23" i="14"/>
  <c r="A21" i="14"/>
  <c r="A19" i="14"/>
  <c r="A17" i="14"/>
  <c r="A15" i="14"/>
  <c r="A13" i="14"/>
  <c r="A11" i="14"/>
  <c r="A9" i="14"/>
  <c r="A7" i="14"/>
  <c r="A5" i="14"/>
  <c r="G27" i="14"/>
  <c r="I5" i="13"/>
  <c r="H5" i="13"/>
  <c r="G5" i="13"/>
  <c r="A259" i="11"/>
  <c r="A220" i="11"/>
  <c r="A196" i="11"/>
  <c r="A160" i="11"/>
  <c r="A112" i="11"/>
  <c r="A22" i="11"/>
  <c r="A217" i="11" l="1"/>
  <c r="A215" i="11"/>
  <c r="A214" i="11"/>
  <c r="A213" i="11"/>
  <c r="A212" i="11"/>
  <c r="A211" i="11"/>
  <c r="A210" i="11"/>
  <c r="A209" i="11"/>
  <c r="A208" i="11"/>
  <c r="A207" i="11"/>
  <c r="A206" i="11"/>
  <c r="A205" i="11"/>
  <c r="A204" i="11"/>
  <c r="A198" i="11"/>
  <c r="A190" i="11"/>
  <c r="A189" i="11"/>
  <c r="B187" i="11"/>
  <c r="B186" i="11"/>
  <c r="B185" i="11"/>
  <c r="B180" i="11"/>
  <c r="B179" i="11"/>
  <c r="B178" i="11"/>
  <c r="A172" i="11"/>
  <c r="A171" i="11"/>
  <c r="A170" i="11"/>
  <c r="A166" i="11"/>
  <c r="A165" i="11"/>
  <c r="A164" i="11"/>
  <c r="A162" i="11"/>
  <c r="A161" i="11"/>
  <c r="A158" i="11"/>
  <c r="A157" i="11"/>
  <c r="A156" i="11"/>
  <c r="A155" i="11"/>
  <c r="B148" i="11"/>
  <c r="B147" i="11"/>
  <c r="B146" i="11"/>
  <c r="B140" i="11"/>
  <c r="B139" i="11"/>
  <c r="B138" i="11"/>
  <c r="B129" i="11"/>
  <c r="B128" i="11"/>
  <c r="B127" i="11"/>
  <c r="C115" i="11"/>
  <c r="B115" i="11"/>
  <c r="F97" i="11"/>
  <c r="D97" i="11"/>
  <c r="B97" i="11"/>
  <c r="F84" i="11"/>
  <c r="D84" i="11"/>
  <c r="B84" i="11"/>
  <c r="A82" i="11"/>
  <c r="F80" i="11"/>
  <c r="D80" i="11"/>
  <c r="B80" i="11"/>
  <c r="A78" i="11"/>
  <c r="A75" i="11"/>
  <c r="F73" i="11"/>
  <c r="D73" i="11"/>
  <c r="B73" i="11"/>
  <c r="H69" i="11"/>
  <c r="F69" i="11"/>
  <c r="D69" i="11"/>
  <c r="B69" i="11"/>
  <c r="A67" i="11"/>
  <c r="F65" i="11"/>
  <c r="D65" i="11"/>
  <c r="B65" i="11"/>
  <c r="A63" i="11"/>
  <c r="A43" i="11"/>
  <c r="A37" i="11"/>
  <c r="A32" i="11"/>
  <c r="A27" i="11"/>
  <c r="H5" i="11"/>
  <c r="D5" i="11"/>
  <c r="F223" i="1"/>
  <c r="F224" i="1"/>
  <c r="F225" i="1"/>
  <c r="F236" i="1"/>
  <c r="F240" i="1"/>
  <c r="F264" i="1"/>
  <c r="F279" i="1"/>
  <c r="U1" i="1"/>
  <c r="T2" i="11"/>
  <c r="T1" i="11"/>
  <c r="A259" i="1"/>
  <c r="A220" i="1"/>
  <c r="A196" i="1"/>
  <c r="A160" i="1"/>
  <c r="A112" i="1"/>
  <c r="A22" i="1"/>
  <c r="F226" i="1" l="1"/>
  <c r="F227" i="1" s="1"/>
  <c r="U4" i="1"/>
  <c r="G31" i="10" l="1"/>
  <c r="G30" i="10"/>
  <c r="G31" i="14"/>
  <c r="G30" i="14"/>
  <c r="G31" i="4"/>
  <c r="G30" i="4"/>
  <c r="G8" i="21" l="1"/>
  <c r="G31" i="22" l="1"/>
  <c r="G30" i="22"/>
  <c r="G57" i="19" l="1"/>
  <c r="G58" i="19"/>
  <c r="D120" i="7" l="1"/>
  <c r="B104" i="7"/>
  <c r="G35" i="7"/>
  <c r="F33" i="7"/>
  <c r="F33" i="11"/>
  <c r="F32" i="11"/>
  <c r="D120" i="1" l="1"/>
  <c r="H39" i="1"/>
  <c r="H38" i="1"/>
  <c r="H37" i="1"/>
  <c r="G35" i="1"/>
  <c r="F33" i="1"/>
  <c r="F32" i="1"/>
  <c r="C120" i="1" l="1"/>
  <c r="F225" i="19"/>
  <c r="C84" i="19" l="1"/>
  <c r="C80" i="19"/>
  <c r="D127" i="19"/>
  <c r="H39" i="19"/>
  <c r="H38" i="19"/>
  <c r="H37" i="19"/>
  <c r="G35" i="19"/>
  <c r="F33" i="19"/>
  <c r="C120" i="19" l="1"/>
  <c r="D14" i="18"/>
  <c r="F12" i="18" l="1"/>
  <c r="F5" i="10"/>
  <c r="F11" i="10" s="1"/>
  <c r="H38" i="7"/>
  <c r="F38" i="7"/>
  <c r="F5" i="14"/>
  <c r="F21" i="10" l="1"/>
  <c r="D120" i="11"/>
  <c r="F11" i="14" s="1"/>
  <c r="H38" i="11"/>
  <c r="F38" i="11"/>
  <c r="F5" i="4"/>
  <c r="F5" i="22"/>
  <c r="F21" i="14" l="1"/>
  <c r="F39" i="1"/>
  <c r="F38" i="1"/>
  <c r="F11" i="22"/>
  <c r="F21" i="22" s="1"/>
  <c r="F39" i="19"/>
  <c r="F38" i="19"/>
  <c r="G9" i="3" l="1"/>
  <c r="A248" i="1" l="1"/>
  <c r="F162" i="19" l="1"/>
  <c r="F161" i="19"/>
  <c r="G84" i="19"/>
  <c r="G80" i="19"/>
  <c r="E84" i="19"/>
  <c r="E80" i="19"/>
  <c r="D45" i="19"/>
  <c r="F43" i="19"/>
  <c r="F15" i="10" l="1"/>
  <c r="F15" i="14"/>
  <c r="F15" i="4"/>
  <c r="G5" i="4"/>
  <c r="F25" i="14" l="1"/>
  <c r="F25" i="10"/>
  <c r="F11" i="4"/>
  <c r="G11" i="4"/>
  <c r="G21" i="4" s="1"/>
  <c r="F25" i="4"/>
  <c r="G57" i="18"/>
  <c r="G40" i="18"/>
  <c r="A273" i="7"/>
  <c r="A266" i="7"/>
  <c r="A265" i="7"/>
  <c r="A261" i="7"/>
  <c r="A257" i="7"/>
  <c r="A256" i="7"/>
  <c r="A255" i="7"/>
  <c r="A254" i="7"/>
  <c r="A253" i="7"/>
  <c r="A252" i="7"/>
  <c r="A251" i="7"/>
  <c r="A250" i="7"/>
  <c r="A249" i="7"/>
  <c r="A248" i="7"/>
  <c r="A246" i="7"/>
  <c r="A245" i="7"/>
  <c r="A234" i="7"/>
  <c r="A227" i="7"/>
  <c r="A226" i="7"/>
  <c r="A222" i="7"/>
  <c r="A273" i="11"/>
  <c r="A266" i="11"/>
  <c r="A265" i="11"/>
  <c r="A261" i="11"/>
  <c r="A257" i="11"/>
  <c r="A256" i="11"/>
  <c r="A255" i="11"/>
  <c r="A254" i="11"/>
  <c r="A253" i="11"/>
  <c r="A252" i="11"/>
  <c r="A251" i="11"/>
  <c r="A250" i="11"/>
  <c r="A249" i="11"/>
  <c r="A248" i="11"/>
  <c r="A246" i="11"/>
  <c r="A245" i="11"/>
  <c r="A234" i="11"/>
  <c r="A227" i="11"/>
  <c r="A226" i="11"/>
  <c r="A222" i="11"/>
  <c r="A273" i="1"/>
  <c r="A266" i="1"/>
  <c r="A265" i="1"/>
  <c r="A261" i="1"/>
  <c r="A257" i="1"/>
  <c r="A256" i="1"/>
  <c r="A255" i="1"/>
  <c r="A254" i="1"/>
  <c r="A253" i="1"/>
  <c r="A252" i="1"/>
  <c r="A251" i="1"/>
  <c r="A250" i="1"/>
  <c r="A249" i="1"/>
  <c r="A246" i="1"/>
  <c r="A245" i="1"/>
  <c r="A234" i="1"/>
  <c r="A227" i="1"/>
  <c r="A226" i="1"/>
  <c r="A222" i="1"/>
  <c r="G11" i="17"/>
  <c r="E13" i="17"/>
  <c r="F18" i="18"/>
  <c r="D20" i="18"/>
  <c r="F43" i="7"/>
  <c r="F43" i="11"/>
  <c r="F43" i="1"/>
  <c r="G63" i="18" l="1"/>
  <c r="F21" i="4"/>
  <c r="F15" i="22"/>
  <c r="A273" i="19" l="1"/>
  <c r="A266" i="19"/>
  <c r="A265" i="19"/>
  <c r="A261" i="19"/>
  <c r="A257" i="19"/>
  <c r="A256" i="19"/>
  <c r="A255" i="19"/>
  <c r="A254" i="19"/>
  <c r="A253" i="19"/>
  <c r="A252" i="19"/>
  <c r="A251" i="19"/>
  <c r="A250" i="19"/>
  <c r="A249" i="19"/>
  <c r="A248" i="19"/>
  <c r="A246" i="19"/>
  <c r="A245" i="19"/>
  <c r="A234" i="19"/>
  <c r="A227" i="19"/>
  <c r="A226" i="19"/>
  <c r="A222" i="19"/>
  <c r="F279" i="7" l="1"/>
  <c r="F264" i="7"/>
  <c r="F240" i="7"/>
  <c r="F236" i="7"/>
  <c r="F225" i="7"/>
  <c r="F224" i="7"/>
  <c r="F223" i="7"/>
  <c r="F279" i="11"/>
  <c r="F264" i="11"/>
  <c r="F240" i="11"/>
  <c r="F225" i="11"/>
  <c r="F224" i="11"/>
  <c r="F223" i="11"/>
  <c r="F226" i="7" l="1"/>
  <c r="F227" i="7" s="1"/>
  <c r="F226" i="11"/>
  <c r="F227" i="11" s="1"/>
  <c r="F279" i="19" l="1"/>
  <c r="F264" i="19"/>
  <c r="F240" i="19"/>
  <c r="F236" i="19"/>
  <c r="F224" i="19"/>
  <c r="F226" i="19" s="1"/>
  <c r="F227" i="19" s="1"/>
  <c r="F223" i="19"/>
  <c r="G112" i="18" l="1"/>
  <c r="F162" i="7"/>
  <c r="F161" i="7"/>
  <c r="G84" i="7"/>
  <c r="G80" i="7"/>
  <c r="E185" i="7"/>
  <c r="G71" i="18"/>
  <c r="G146" i="18" s="1"/>
  <c r="G70" i="18"/>
  <c r="G126" i="18" s="1"/>
  <c r="G127" i="18" s="1"/>
  <c r="G128" i="18" s="1"/>
  <c r="F58" i="18"/>
  <c r="E58" i="18"/>
  <c r="D58" i="18"/>
  <c r="C58" i="18"/>
  <c r="F19" i="18"/>
  <c r="F17" i="18"/>
  <c r="F13" i="18"/>
  <c r="F11" i="18"/>
  <c r="I61" i="17"/>
  <c r="I60" i="17"/>
  <c r="G58" i="18" l="1"/>
  <c r="G28" i="25" s="1"/>
  <c r="F14" i="18"/>
  <c r="G108" i="18" s="1"/>
  <c r="I62" i="17"/>
  <c r="G158" i="18"/>
  <c r="G113" i="18"/>
  <c r="G114" i="18" s="1"/>
  <c r="F20" i="18"/>
  <c r="F163" i="7"/>
  <c r="F167" i="7" s="1"/>
  <c r="F256" i="7" s="1"/>
  <c r="I50" i="17"/>
  <c r="I49" i="17"/>
  <c r="F170" i="7" l="1"/>
  <c r="G152" i="18"/>
  <c r="G34" i="25" s="1"/>
  <c r="G96" i="18"/>
  <c r="G142" i="18"/>
  <c r="F228" i="7"/>
  <c r="W3" i="17"/>
  <c r="W4" i="17"/>
  <c r="W5" i="17" s="1"/>
  <c r="E5" i="14"/>
  <c r="C158" i="11"/>
  <c r="E5" i="22"/>
  <c r="E15" i="22"/>
  <c r="G15" i="22"/>
  <c r="G5" i="22"/>
  <c r="G7" i="21"/>
  <c r="G10" i="21" s="1"/>
  <c r="G30" i="1"/>
  <c r="F27" i="1"/>
  <c r="F30" i="1" s="1"/>
  <c r="F29" i="1"/>
  <c r="G7" i="3"/>
  <c r="F34" i="1"/>
  <c r="F35" i="1" s="1"/>
  <c r="F37" i="19"/>
  <c r="G155" i="19"/>
  <c r="F32" i="19"/>
  <c r="F34" i="19"/>
  <c r="D146" i="19"/>
  <c r="F156" i="19" s="1"/>
  <c r="D128" i="19"/>
  <c r="D157" i="19" s="1"/>
  <c r="D147" i="19"/>
  <c r="F157" i="19" s="1"/>
  <c r="F42" i="19"/>
  <c r="F44" i="19"/>
  <c r="C158" i="19"/>
  <c r="D129" i="19"/>
  <c r="D158" i="19" s="1"/>
  <c r="D148" i="19"/>
  <c r="G156" i="7"/>
  <c r="G30" i="11"/>
  <c r="F27" i="11"/>
  <c r="F29" i="11"/>
  <c r="G35" i="11"/>
  <c r="F34" i="11"/>
  <c r="G155" i="11"/>
  <c r="D127" i="11"/>
  <c r="G80" i="11"/>
  <c r="E185" i="11"/>
  <c r="G24" i="13" s="1"/>
  <c r="C80" i="7"/>
  <c r="F32" i="7"/>
  <c r="F34" i="7"/>
  <c r="H37" i="7"/>
  <c r="H39" i="7"/>
  <c r="D128" i="7"/>
  <c r="D157" i="7" s="1"/>
  <c r="F37" i="7"/>
  <c r="F39" i="7"/>
  <c r="F42" i="7"/>
  <c r="F44" i="7"/>
  <c r="C158" i="7"/>
  <c r="D129" i="7"/>
  <c r="D158" i="7" s="1"/>
  <c r="C80" i="11"/>
  <c r="E80" i="11"/>
  <c r="H37" i="11"/>
  <c r="H39" i="11"/>
  <c r="D128" i="11"/>
  <c r="D157" i="11" s="1"/>
  <c r="F161" i="11"/>
  <c r="F162" i="11"/>
  <c r="F37" i="11"/>
  <c r="F39" i="11"/>
  <c r="F42" i="11"/>
  <c r="F44" i="11"/>
  <c r="D129" i="11"/>
  <c r="D158" i="11" s="1"/>
  <c r="F162" i="1"/>
  <c r="F161" i="1"/>
  <c r="F37" i="1"/>
  <c r="G80" i="1"/>
  <c r="G155" i="1"/>
  <c r="D146" i="1"/>
  <c r="F156" i="1" s="1"/>
  <c r="D127" i="1"/>
  <c r="D128" i="1"/>
  <c r="D157" i="1" s="1"/>
  <c r="D147" i="1"/>
  <c r="F157" i="1" s="1"/>
  <c r="F42" i="1"/>
  <c r="F44" i="1"/>
  <c r="C158" i="1"/>
  <c r="D129" i="1"/>
  <c r="D158" i="1" s="1"/>
  <c r="D148" i="1"/>
  <c r="E10" i="16"/>
  <c r="G102" i="18"/>
  <c r="G101" i="18"/>
  <c r="G10" i="17"/>
  <c r="G12" i="17"/>
  <c r="C80" i="1"/>
  <c r="E80" i="1"/>
  <c r="D30" i="19"/>
  <c r="D35" i="19"/>
  <c r="D40" i="19"/>
  <c r="D101" i="19"/>
  <c r="F101" i="19"/>
  <c r="A175" i="19"/>
  <c r="A182" i="19"/>
  <c r="E185" i="19"/>
  <c r="G24" i="21" s="1"/>
  <c r="A197" i="19"/>
  <c r="A7" i="21"/>
  <c r="A8" i="21"/>
  <c r="A9" i="21"/>
  <c r="A10" i="21"/>
  <c r="A12" i="21"/>
  <c r="A13" i="21"/>
  <c r="A14" i="21"/>
  <c r="A16" i="21"/>
  <c r="A17" i="21"/>
  <c r="A19" i="21"/>
  <c r="A20" i="21"/>
  <c r="A21" i="21"/>
  <c r="G21" i="21"/>
  <c r="A22" i="21"/>
  <c r="A23" i="21"/>
  <c r="A24" i="21"/>
  <c r="A25" i="21"/>
  <c r="A9" i="22"/>
  <c r="A11" i="22"/>
  <c r="A13" i="22"/>
  <c r="A19" i="22"/>
  <c r="A21" i="22"/>
  <c r="A23" i="22"/>
  <c r="A25" i="22"/>
  <c r="G5" i="10"/>
  <c r="G11" i="10" s="1"/>
  <c r="G5" i="14"/>
  <c r="D10" i="16"/>
  <c r="C10" i="16"/>
  <c r="B10" i="16"/>
  <c r="D146" i="11"/>
  <c r="F156" i="11" s="1"/>
  <c r="D147" i="11"/>
  <c r="F157" i="11" s="1"/>
  <c r="T4" i="11"/>
  <c r="D148" i="11"/>
  <c r="C84" i="11"/>
  <c r="T3" i="11"/>
  <c r="D101" i="11"/>
  <c r="T5" i="11"/>
  <c r="T6" i="11"/>
  <c r="F101" i="11"/>
  <c r="G15" i="14"/>
  <c r="E15" i="14"/>
  <c r="G21" i="13"/>
  <c r="G8" i="13"/>
  <c r="G9" i="13"/>
  <c r="A17" i="13"/>
  <c r="A25" i="13"/>
  <c r="A24" i="13"/>
  <c r="A23" i="13"/>
  <c r="A22" i="13"/>
  <c r="A21" i="13"/>
  <c r="A20" i="13"/>
  <c r="A19" i="13"/>
  <c r="A16" i="13"/>
  <c r="A14" i="13"/>
  <c r="A13" i="13"/>
  <c r="A12" i="13"/>
  <c r="A10" i="13"/>
  <c r="A9" i="13"/>
  <c r="A8" i="13"/>
  <c r="A7" i="13"/>
  <c r="G84" i="11"/>
  <c r="E84" i="11"/>
  <c r="D45" i="11"/>
  <c r="D40" i="11"/>
  <c r="D35" i="11"/>
  <c r="D30" i="11"/>
  <c r="A197" i="11"/>
  <c r="A182" i="11"/>
  <c r="A175" i="11"/>
  <c r="D147" i="7"/>
  <c r="F157" i="7" s="1"/>
  <c r="F27" i="7"/>
  <c r="F29" i="7"/>
  <c r="B156" i="7"/>
  <c r="C156" i="7"/>
  <c r="G155" i="7"/>
  <c r="D127" i="7"/>
  <c r="D156" i="7" s="1"/>
  <c r="T1" i="7"/>
  <c r="T4" i="7"/>
  <c r="C84" i="7"/>
  <c r="T2" i="7"/>
  <c r="T3" i="7"/>
  <c r="D146" i="7"/>
  <c r="F156" i="7" s="1"/>
  <c r="T5" i="7"/>
  <c r="T6" i="7"/>
  <c r="G15" i="10"/>
  <c r="E15" i="10"/>
  <c r="E5" i="10"/>
  <c r="G21" i="9"/>
  <c r="G24" i="9"/>
  <c r="G8" i="9"/>
  <c r="G9" i="9"/>
  <c r="A17" i="9"/>
  <c r="A25" i="9"/>
  <c r="A24" i="9"/>
  <c r="A23" i="9"/>
  <c r="A22" i="9"/>
  <c r="A21" i="9"/>
  <c r="A20" i="9"/>
  <c r="A19" i="9"/>
  <c r="A16" i="9"/>
  <c r="A14" i="9"/>
  <c r="A13" i="9"/>
  <c r="A12" i="9"/>
  <c r="A10" i="9"/>
  <c r="A9" i="9"/>
  <c r="A8" i="9"/>
  <c r="A7" i="9"/>
  <c r="D45" i="7"/>
  <c r="D40" i="7"/>
  <c r="D35" i="7"/>
  <c r="D30" i="7"/>
  <c r="A197" i="7"/>
  <c r="A182" i="7"/>
  <c r="A175" i="7"/>
  <c r="G15" i="4"/>
  <c r="E15" i="4"/>
  <c r="E5" i="4"/>
  <c r="A25" i="4"/>
  <c r="A23" i="4"/>
  <c r="A21" i="4"/>
  <c r="A19" i="4"/>
  <c r="A13" i="4"/>
  <c r="A11" i="4"/>
  <c r="A9" i="4"/>
  <c r="G21" i="3"/>
  <c r="E185" i="1"/>
  <c r="G24" i="3" s="1"/>
  <c r="G8" i="3"/>
  <c r="A17" i="3"/>
  <c r="A25" i="3"/>
  <c r="A24" i="3"/>
  <c r="A23" i="3"/>
  <c r="A22" i="3"/>
  <c r="A21" i="3"/>
  <c r="A20" i="3"/>
  <c r="A19" i="3"/>
  <c r="A16" i="3"/>
  <c r="A14" i="3"/>
  <c r="A13" i="3"/>
  <c r="A12" i="3"/>
  <c r="A10" i="3"/>
  <c r="A9" i="3"/>
  <c r="A8" i="3"/>
  <c r="A7" i="3"/>
  <c r="G84" i="1"/>
  <c r="E84" i="1"/>
  <c r="C84" i="1"/>
  <c r="D45" i="1"/>
  <c r="D40" i="1"/>
  <c r="D35" i="1"/>
  <c r="D30" i="1"/>
  <c r="A197" i="1"/>
  <c r="A182" i="1"/>
  <c r="A175" i="1"/>
  <c r="H28" i="1" l="1"/>
  <c r="F30" i="11"/>
  <c r="H28" i="11"/>
  <c r="E11" i="10"/>
  <c r="E21" i="10" s="1"/>
  <c r="E13" i="10"/>
  <c r="E23" i="10" s="1"/>
  <c r="F35" i="7"/>
  <c r="F13" i="10"/>
  <c r="H40" i="7"/>
  <c r="C120" i="7"/>
  <c r="C157" i="7" s="1"/>
  <c r="H34" i="1"/>
  <c r="H32" i="1"/>
  <c r="H33" i="1"/>
  <c r="F158" i="1"/>
  <c r="G13" i="4"/>
  <c r="G23" i="4" s="1"/>
  <c r="F13" i="4"/>
  <c r="U1" i="11"/>
  <c r="U4" i="11"/>
  <c r="C120" i="11"/>
  <c r="C157" i="11" s="1"/>
  <c r="F158" i="11"/>
  <c r="F13" i="14"/>
  <c r="U4" i="7"/>
  <c r="U1" i="7"/>
  <c r="G13" i="17"/>
  <c r="F35" i="19"/>
  <c r="H32" i="19" s="1"/>
  <c r="F158" i="19"/>
  <c r="F13" i="22"/>
  <c r="F45" i="19"/>
  <c r="E13" i="22"/>
  <c r="E23" i="22" s="1"/>
  <c r="E11" i="22"/>
  <c r="G13" i="22"/>
  <c r="G23" i="22" s="1"/>
  <c r="G11" i="22"/>
  <c r="G21" i="10"/>
  <c r="G13" i="10"/>
  <c r="G23" i="10" s="1"/>
  <c r="G11" i="14"/>
  <c r="G21" i="14" s="1"/>
  <c r="G13" i="14"/>
  <c r="G23" i="14" s="1"/>
  <c r="E11" i="14"/>
  <c r="E21" i="14" s="1"/>
  <c r="E13" i="14"/>
  <c r="E23" i="14" s="1"/>
  <c r="E11" i="4"/>
  <c r="E21" i="4" s="1"/>
  <c r="E13" i="4"/>
  <c r="E23" i="4" s="1"/>
  <c r="G64" i="18"/>
  <c r="G145" i="18"/>
  <c r="G157" i="18"/>
  <c r="G159" i="18" s="1"/>
  <c r="G35" i="25" s="1"/>
  <c r="G12" i="9"/>
  <c r="C185" i="7"/>
  <c r="C186" i="7" s="1"/>
  <c r="C187" i="7" s="1"/>
  <c r="E187" i="7" s="1"/>
  <c r="F235" i="7"/>
  <c r="F45" i="7"/>
  <c r="E25" i="10"/>
  <c r="F45" i="11"/>
  <c r="G7" i="13"/>
  <c r="G10" i="13" s="1"/>
  <c r="F45" i="1"/>
  <c r="F269" i="1" s="1"/>
  <c r="H40" i="19"/>
  <c r="F104" i="1"/>
  <c r="B158" i="1" s="1"/>
  <c r="F163" i="19"/>
  <c r="F170" i="19" s="1"/>
  <c r="G23" i="21" s="1"/>
  <c r="G100" i="18"/>
  <c r="G103" i="18" s="1"/>
  <c r="H29" i="1"/>
  <c r="F40" i="7"/>
  <c r="F104" i="7"/>
  <c r="E140" i="7" s="1"/>
  <c r="F140" i="7" s="1"/>
  <c r="D140" i="7" s="1"/>
  <c r="E158" i="7" s="1"/>
  <c r="E138" i="7"/>
  <c r="F138" i="7" s="1"/>
  <c r="D138" i="7" s="1"/>
  <c r="E156" i="7" s="1"/>
  <c r="F30" i="7"/>
  <c r="G7" i="9"/>
  <c r="G10" i="9" s="1"/>
  <c r="F163" i="11"/>
  <c r="F104" i="11"/>
  <c r="B158" i="11" s="1"/>
  <c r="H27" i="11"/>
  <c r="H40" i="11"/>
  <c r="F35" i="11"/>
  <c r="H32" i="11" s="1"/>
  <c r="F40" i="11"/>
  <c r="E25" i="4"/>
  <c r="H40" i="1"/>
  <c r="F40" i="1"/>
  <c r="F230" i="1" s="1"/>
  <c r="C157" i="1"/>
  <c r="F163" i="1"/>
  <c r="G25" i="4"/>
  <c r="G10" i="3"/>
  <c r="C157" i="19"/>
  <c r="F40" i="19"/>
  <c r="F104" i="19"/>
  <c r="E25" i="14"/>
  <c r="G25" i="10"/>
  <c r="G25" i="14"/>
  <c r="H33" i="7" l="1"/>
  <c r="H34" i="7"/>
  <c r="H32" i="7"/>
  <c r="B120" i="1"/>
  <c r="D99" i="1"/>
  <c r="F277" i="1"/>
  <c r="I7" i="3" s="1"/>
  <c r="G34" i="4" s="1"/>
  <c r="I7" i="21"/>
  <c r="G34" i="22" s="1"/>
  <c r="G104" i="18"/>
  <c r="G109" i="18" s="1"/>
  <c r="G110" i="18" s="1"/>
  <c r="G115" i="18" s="1"/>
  <c r="G117" i="18" s="1"/>
  <c r="F229" i="7"/>
  <c r="F237" i="7" s="1"/>
  <c r="F23" i="10"/>
  <c r="F9" i="10"/>
  <c r="F19" i="10" s="1"/>
  <c r="H33" i="19"/>
  <c r="F167" i="19"/>
  <c r="F228" i="19" s="1"/>
  <c r="F9" i="4"/>
  <c r="F19" i="4" s="1"/>
  <c r="F23" i="4"/>
  <c r="H35" i="1"/>
  <c r="G9" i="4"/>
  <c r="G19" i="4" s="1"/>
  <c r="H34" i="11"/>
  <c r="H33" i="11"/>
  <c r="F23" i="14"/>
  <c r="F9" i="14"/>
  <c r="F19" i="14" s="1"/>
  <c r="I44" i="17"/>
  <c r="I56" i="17"/>
  <c r="I48" i="17"/>
  <c r="I51" i="17" s="1"/>
  <c r="H34" i="19"/>
  <c r="B99" i="19" s="1"/>
  <c r="B104" i="19" s="1"/>
  <c r="F23" i="22"/>
  <c r="F9" i="22"/>
  <c r="F19" i="22" s="1"/>
  <c r="G9" i="22"/>
  <c r="G19" i="22" s="1"/>
  <c r="G21" i="22"/>
  <c r="G9" i="10"/>
  <c r="G19" i="10" s="1"/>
  <c r="G9" i="14"/>
  <c r="G19" i="14" s="1"/>
  <c r="F252" i="7"/>
  <c r="H13" i="9" s="1"/>
  <c r="G29" i="10"/>
  <c r="E186" i="7"/>
  <c r="H24" i="9" s="1"/>
  <c r="G40" i="7"/>
  <c r="F167" i="11"/>
  <c r="F256" i="11" s="1"/>
  <c r="H19" i="13" s="1"/>
  <c r="G40" i="11"/>
  <c r="F167" i="1"/>
  <c r="F228" i="1" s="1"/>
  <c r="H27" i="1"/>
  <c r="H30" i="1" s="1"/>
  <c r="E140" i="1"/>
  <c r="F277" i="7"/>
  <c r="I7" i="9" s="1"/>
  <c r="G34" i="10" s="1"/>
  <c r="F277" i="11"/>
  <c r="I7" i="13" s="1"/>
  <c r="G34" i="14" s="1"/>
  <c r="F277" i="19"/>
  <c r="G144" i="18"/>
  <c r="G97" i="18"/>
  <c r="G118" i="18" s="1"/>
  <c r="G23" i="9"/>
  <c r="B158" i="7"/>
  <c r="G13" i="9"/>
  <c r="G14" i="9" s="1"/>
  <c r="G17" i="9" s="1"/>
  <c r="G20" i="9"/>
  <c r="G22" i="9" s="1"/>
  <c r="H19" i="9"/>
  <c r="F170" i="11"/>
  <c r="G23" i="13" s="1"/>
  <c r="E140" i="11"/>
  <c r="F140" i="11" s="1"/>
  <c r="D140" i="11" s="1"/>
  <c r="E158" i="11" s="1"/>
  <c r="H29" i="11"/>
  <c r="E9" i="14"/>
  <c r="E19" i="14" s="1"/>
  <c r="G40" i="1"/>
  <c r="F170" i="1"/>
  <c r="G23" i="3" s="1"/>
  <c r="E9" i="22"/>
  <c r="E19" i="22" s="1"/>
  <c r="G40" i="19"/>
  <c r="B158" i="19"/>
  <c r="E140" i="19"/>
  <c r="E21" i="22"/>
  <c r="E9" i="4"/>
  <c r="E19" i="4" s="1"/>
  <c r="E9" i="10"/>
  <c r="E19" i="10" s="1"/>
  <c r="D99" i="19" l="1"/>
  <c r="B120" i="19"/>
  <c r="H35" i="7"/>
  <c r="D99" i="7"/>
  <c r="B99" i="1"/>
  <c r="B104" i="1" s="1"/>
  <c r="E138" i="1" s="1"/>
  <c r="B120" i="11"/>
  <c r="B99" i="11"/>
  <c r="B104" i="11" s="1"/>
  <c r="B156" i="11" s="1"/>
  <c r="D99" i="11"/>
  <c r="D104" i="11" s="1"/>
  <c r="H30" i="11"/>
  <c r="G119" i="18"/>
  <c r="F140" i="1"/>
  <c r="D140" i="1" s="1"/>
  <c r="E158" i="1" s="1"/>
  <c r="D104" i="7"/>
  <c r="C156" i="19"/>
  <c r="F140" i="19"/>
  <c r="D140" i="19" s="1"/>
  <c r="E158" i="19" s="1"/>
  <c r="F275" i="1"/>
  <c r="F238" i="1"/>
  <c r="F246" i="1" s="1"/>
  <c r="F256" i="1"/>
  <c r="H19" i="3" s="1"/>
  <c r="F232" i="19"/>
  <c r="I52" i="17"/>
  <c r="I57" i="17" s="1"/>
  <c r="I58" i="17" s="1"/>
  <c r="I63" i="17" s="1"/>
  <c r="I65" i="17" s="1"/>
  <c r="G162" i="18"/>
  <c r="G129" i="18"/>
  <c r="G134" i="18" s="1"/>
  <c r="F231" i="7"/>
  <c r="F232" i="7" s="1"/>
  <c r="F262" i="7" s="1"/>
  <c r="F247" i="7"/>
  <c r="G20" i="21"/>
  <c r="G22" i="21" s="1"/>
  <c r="F256" i="19"/>
  <c r="H19" i="21" s="1"/>
  <c r="B156" i="19"/>
  <c r="D104" i="19"/>
  <c r="E139" i="19" s="1"/>
  <c r="H35" i="19"/>
  <c r="C156" i="11"/>
  <c r="I45" i="17"/>
  <c r="I66" i="17" s="1"/>
  <c r="F235" i="19"/>
  <c r="G20" i="13"/>
  <c r="G22" i="13" s="1"/>
  <c r="G25" i="13" s="1"/>
  <c r="H7" i="21"/>
  <c r="F275" i="19"/>
  <c r="F238" i="19"/>
  <c r="F246" i="19" s="1"/>
  <c r="F238" i="7"/>
  <c r="F275" i="7"/>
  <c r="F228" i="11"/>
  <c r="F229" i="11" s="1"/>
  <c r="F231" i="11" s="1"/>
  <c r="F238" i="11"/>
  <c r="F246" i="11" s="1"/>
  <c r="F275" i="11"/>
  <c r="H35" i="11"/>
  <c r="G20" i="3"/>
  <c r="G22" i="3" s="1"/>
  <c r="C156" i="1"/>
  <c r="G124" i="18"/>
  <c r="G141" i="18"/>
  <c r="G16" i="9"/>
  <c r="G19" i="9" s="1"/>
  <c r="G26" i="9"/>
  <c r="G25" i="9"/>
  <c r="I24" i="9"/>
  <c r="I13" i="9"/>
  <c r="D104" i="1"/>
  <c r="E139" i="1" s="1"/>
  <c r="G25" i="3" l="1"/>
  <c r="F139" i="1"/>
  <c r="D139" i="1" s="1"/>
  <c r="E157" i="1" s="1"/>
  <c r="F138" i="1"/>
  <c r="D138" i="1" s="1"/>
  <c r="E156" i="1" s="1"/>
  <c r="F229" i="1"/>
  <c r="F235" i="1"/>
  <c r="I67" i="17"/>
  <c r="G131" i="18"/>
  <c r="G25" i="21"/>
  <c r="F247" i="19"/>
  <c r="H8" i="21"/>
  <c r="B157" i="19"/>
  <c r="F235" i="11"/>
  <c r="B157" i="11"/>
  <c r="E139" i="11"/>
  <c r="F139" i="11" s="1"/>
  <c r="D139" i="11" s="1"/>
  <c r="E157" i="11" s="1"/>
  <c r="F139" i="19"/>
  <c r="D139" i="19" s="1"/>
  <c r="E157" i="19" s="1"/>
  <c r="F246" i="7"/>
  <c r="H7" i="9"/>
  <c r="B157" i="7"/>
  <c r="E139" i="7"/>
  <c r="F139" i="7" s="1"/>
  <c r="D139" i="7" s="1"/>
  <c r="E157" i="7" s="1"/>
  <c r="F232" i="11"/>
  <c r="F262" i="11" s="1"/>
  <c r="H7" i="13"/>
  <c r="H7" i="3"/>
  <c r="G132" i="18"/>
  <c r="F237" i="19"/>
  <c r="H8" i="9"/>
  <c r="E138" i="11"/>
  <c r="F138" i="11" s="1"/>
  <c r="D138" i="11" s="1"/>
  <c r="E156" i="11" s="1"/>
  <c r="D156" i="11" s="1"/>
  <c r="G156" i="11" s="1"/>
  <c r="B156" i="1"/>
  <c r="B157" i="1"/>
  <c r="E138" i="19"/>
  <c r="F138" i="19" s="1"/>
  <c r="D138" i="19" s="1"/>
  <c r="E156" i="19" s="1"/>
  <c r="F262" i="19"/>
  <c r="H21" i="21"/>
  <c r="D156" i="19" l="1"/>
  <c r="G156" i="19" s="1"/>
  <c r="C185" i="19" s="1"/>
  <c r="D156" i="1"/>
  <c r="G156" i="1" s="1"/>
  <c r="C185" i="1" s="1"/>
  <c r="G13" i="3" s="1"/>
  <c r="F231" i="1"/>
  <c r="F232" i="1" s="1"/>
  <c r="F262" i="1" s="1"/>
  <c r="F247" i="1"/>
  <c r="F237" i="1"/>
  <c r="G133" i="18"/>
  <c r="G143" i="18" s="1"/>
  <c r="G147" i="18" s="1"/>
  <c r="G148" i="18" s="1"/>
  <c r="G154" i="18" s="1"/>
  <c r="G157" i="11"/>
  <c r="F263" i="11" s="1"/>
  <c r="F265" i="11" s="1"/>
  <c r="F266" i="11" s="1"/>
  <c r="G157" i="7"/>
  <c r="F237" i="11"/>
  <c r="H8" i="13"/>
  <c r="F247" i="11"/>
  <c r="H21" i="9"/>
  <c r="C185" i="11"/>
  <c r="C186" i="11" s="1"/>
  <c r="F252" i="11" s="1"/>
  <c r="G12" i="13"/>
  <c r="H21" i="13"/>
  <c r="H8" i="3"/>
  <c r="G137" i="18" l="1"/>
  <c r="G138" i="18" s="1"/>
  <c r="G164" i="18" s="1"/>
  <c r="F171" i="11"/>
  <c r="H23" i="13" s="1"/>
  <c r="F239" i="11"/>
  <c r="F241" i="11" s="1"/>
  <c r="F251" i="11"/>
  <c r="H12" i="13" s="1"/>
  <c r="G158" i="11"/>
  <c r="F278" i="11" s="1"/>
  <c r="G12" i="21"/>
  <c r="G157" i="19"/>
  <c r="H12" i="21" s="1"/>
  <c r="F239" i="7"/>
  <c r="F241" i="7" s="1"/>
  <c r="F251" i="7"/>
  <c r="F253" i="7" s="1"/>
  <c r="F263" i="7"/>
  <c r="F265" i="7" s="1"/>
  <c r="F171" i="7"/>
  <c r="H23" i="9" s="1"/>
  <c r="G158" i="7"/>
  <c r="G12" i="3"/>
  <c r="G14" i="3" s="1"/>
  <c r="G157" i="1"/>
  <c r="G153" i="18"/>
  <c r="G155" i="18" s="1"/>
  <c r="G160" i="18" s="1"/>
  <c r="G163" i="18" s="1"/>
  <c r="G13" i="13"/>
  <c r="G14" i="13" s="1"/>
  <c r="H13" i="13"/>
  <c r="E186" i="11"/>
  <c r="C187" i="11"/>
  <c r="G29" i="14" s="1"/>
  <c r="H21" i="3"/>
  <c r="C186" i="1"/>
  <c r="F252" i="1" s="1"/>
  <c r="G13" i="21"/>
  <c r="C186" i="19"/>
  <c r="G165" i="18" l="1"/>
  <c r="G17" i="3"/>
  <c r="G26" i="3"/>
  <c r="F251" i="1"/>
  <c r="F253" i="1" s="1"/>
  <c r="F263" i="1"/>
  <c r="F265" i="1" s="1"/>
  <c r="F266" i="1" s="1"/>
  <c r="F239" i="1"/>
  <c r="F241" i="1" s="1"/>
  <c r="F242" i="1" s="1"/>
  <c r="F248" i="1" s="1"/>
  <c r="F249" i="1" s="1"/>
  <c r="I12" i="9"/>
  <c r="I14" i="9" s="1"/>
  <c r="G28" i="10"/>
  <c r="F242" i="7"/>
  <c r="F248" i="7" s="1"/>
  <c r="I12" i="13"/>
  <c r="G28" i="14"/>
  <c r="F242" i="11"/>
  <c r="F248" i="11" s="1"/>
  <c r="G158" i="1"/>
  <c r="F172" i="11"/>
  <c r="I23" i="13" s="1"/>
  <c r="F253" i="11"/>
  <c r="G14" i="21"/>
  <c r="F239" i="19"/>
  <c r="G158" i="19"/>
  <c r="F263" i="19"/>
  <c r="F265" i="19" s="1"/>
  <c r="F266" i="19" s="1"/>
  <c r="F171" i="19"/>
  <c r="H23" i="21" s="1"/>
  <c r="F251" i="19"/>
  <c r="F252" i="19"/>
  <c r="H13" i="21"/>
  <c r="H12" i="9"/>
  <c r="H14" i="9" s="1"/>
  <c r="H17" i="9" s="1"/>
  <c r="F266" i="7"/>
  <c r="F172" i="7"/>
  <c r="I23" i="9" s="1"/>
  <c r="F278" i="7"/>
  <c r="H14" i="13"/>
  <c r="H17" i="13" s="1"/>
  <c r="G26" i="13"/>
  <c r="G17" i="13"/>
  <c r="G16" i="13"/>
  <c r="G19" i="13" s="1"/>
  <c r="F171" i="1"/>
  <c r="H23" i="3" s="1"/>
  <c r="G16" i="3"/>
  <c r="G19" i="3" s="1"/>
  <c r="H24" i="13"/>
  <c r="E187" i="11"/>
  <c r="I24" i="13" s="1"/>
  <c r="I13" i="13"/>
  <c r="C187" i="1"/>
  <c r="G29" i="4" s="1"/>
  <c r="H13" i="3"/>
  <c r="E186" i="1"/>
  <c r="H24" i="3" s="1"/>
  <c r="E186" i="19"/>
  <c r="H24" i="21" s="1"/>
  <c r="C187" i="19"/>
  <c r="G29" i="22" s="1"/>
  <c r="I17" i="9" l="1"/>
  <c r="G35" i="10"/>
  <c r="F254" i="1"/>
  <c r="F257" i="1" s="1"/>
  <c r="F267" i="1" s="1"/>
  <c r="G28" i="4"/>
  <c r="F278" i="1"/>
  <c r="H12" i="3"/>
  <c r="H14" i="3" s="1"/>
  <c r="H17" i="3" s="1"/>
  <c r="F241" i="19"/>
  <c r="F242" i="19" s="1"/>
  <c r="F248" i="19" s="1"/>
  <c r="H9" i="9"/>
  <c r="H10" i="9" s="1"/>
  <c r="H16" i="9" s="1"/>
  <c r="F249" i="7"/>
  <c r="F254" i="7" s="1"/>
  <c r="F257" i="7" s="1"/>
  <c r="F267" i="7" s="1"/>
  <c r="F268" i="7" s="1"/>
  <c r="F270" i="7" s="1"/>
  <c r="I14" i="13"/>
  <c r="F249" i="11"/>
  <c r="F254" i="11" s="1"/>
  <c r="F257" i="11" s="1"/>
  <c r="H9" i="13"/>
  <c r="H10" i="13" s="1"/>
  <c r="H16" i="13" s="1"/>
  <c r="H9" i="3"/>
  <c r="H10" i="3" s="1"/>
  <c r="F278" i="19"/>
  <c r="G28" i="22"/>
  <c r="G16" i="21"/>
  <c r="G19" i="21" s="1"/>
  <c r="G26" i="21"/>
  <c r="G17" i="21"/>
  <c r="I12" i="21"/>
  <c r="F172" i="19"/>
  <c r="I23" i="21" s="1"/>
  <c r="I12" i="3"/>
  <c r="F172" i="1"/>
  <c r="I23" i="3" s="1"/>
  <c r="E187" i="1"/>
  <c r="I24" i="3" s="1"/>
  <c r="I13" i="3"/>
  <c r="I13" i="21"/>
  <c r="E187" i="19"/>
  <c r="I24" i="21" s="1"/>
  <c r="H14" i="21"/>
  <c r="F253" i="19"/>
  <c r="I17" i="13" l="1"/>
  <c r="G35" i="14"/>
  <c r="F274" i="1"/>
  <c r="F268" i="1"/>
  <c r="H9" i="21"/>
  <c r="H10" i="21" s="1"/>
  <c r="H16" i="21" s="1"/>
  <c r="F249" i="19"/>
  <c r="F254" i="19" s="1"/>
  <c r="F257" i="19" s="1"/>
  <c r="F267" i="19" s="1"/>
  <c r="F268" i="19" s="1"/>
  <c r="F270" i="19" s="1"/>
  <c r="I19" i="9"/>
  <c r="H20" i="9"/>
  <c r="H22" i="9" s="1"/>
  <c r="H26" i="9" s="1"/>
  <c r="F274" i="7"/>
  <c r="F267" i="11"/>
  <c r="I19" i="13"/>
  <c r="H20" i="13"/>
  <c r="H22" i="13" s="1"/>
  <c r="H26" i="13" s="1"/>
  <c r="H17" i="21"/>
  <c r="I14" i="21"/>
  <c r="G35" i="22" s="1"/>
  <c r="F271" i="7"/>
  <c r="F276" i="7"/>
  <c r="I14" i="3"/>
  <c r="H16" i="3"/>
  <c r="I19" i="3"/>
  <c r="H20" i="3"/>
  <c r="H22" i="3" s="1"/>
  <c r="H25" i="3" s="1"/>
  <c r="I17" i="3" l="1"/>
  <c r="G35" i="4"/>
  <c r="F276" i="1"/>
  <c r="F280" i="1" s="1"/>
  <c r="F281" i="1" s="1"/>
  <c r="F270" i="1"/>
  <c r="F271" i="1" s="1"/>
  <c r="F280" i="7"/>
  <c r="F281" i="7" s="1"/>
  <c r="H25" i="9"/>
  <c r="H25" i="13"/>
  <c r="F268" i="11"/>
  <c r="F274" i="11"/>
  <c r="I17" i="21"/>
  <c r="H20" i="21"/>
  <c r="H22" i="21" s="1"/>
  <c r="H26" i="21" s="1"/>
  <c r="I19" i="21"/>
  <c r="F271" i="19"/>
  <c r="I8" i="3"/>
  <c r="H26" i="3"/>
  <c r="F274" i="19"/>
  <c r="F276" i="11" l="1"/>
  <c r="F280" i="11" s="1"/>
  <c r="F281" i="11" s="1"/>
  <c r="I9" i="13" s="1"/>
  <c r="F270" i="11"/>
  <c r="F271" i="11" s="1"/>
  <c r="I21" i="13" s="1"/>
  <c r="I8" i="13"/>
  <c r="H25" i="21"/>
  <c r="I21" i="3"/>
  <c r="I8" i="9"/>
  <c r="I21" i="9"/>
  <c r="I10" i="13" l="1"/>
  <c r="I16" i="13" s="1"/>
  <c r="I20" i="13" s="1"/>
  <c r="I22" i="13" s="1"/>
  <c r="I26" i="13" s="1"/>
  <c r="I9" i="3"/>
  <c r="I10" i="3" s="1"/>
  <c r="I16" i="3" s="1"/>
  <c r="I20" i="3" s="1"/>
  <c r="I22" i="3" s="1"/>
  <c r="I9" i="9"/>
  <c r="I10" i="9" s="1"/>
  <c r="I16" i="9" s="1"/>
  <c r="I20" i="9" s="1"/>
  <c r="I22" i="9" s="1"/>
  <c r="I26" i="9" s="1"/>
  <c r="I21" i="21"/>
  <c r="I8" i="21"/>
  <c r="F276" i="19"/>
  <c r="F280" i="19" s="1"/>
  <c r="I25" i="13" l="1"/>
  <c r="I26" i="3"/>
  <c r="I25" i="3"/>
  <c r="F281" i="19"/>
  <c r="I9" i="21" s="1"/>
  <c r="I10" i="21" s="1"/>
  <c r="I25" i="9"/>
  <c r="I16" i="21" l="1"/>
  <c r="I20" i="21" s="1"/>
  <c r="I22" i="21" s="1"/>
  <c r="I25" i="21" s="1"/>
  <c r="I26" i="21" l="1"/>
  <c r="A22" i="19"/>
  <c r="A78" i="19"/>
  <c r="E54" i="1"/>
  <c r="E54" i="19"/>
  <c r="F54" i="19"/>
  <c r="A204" i="1"/>
  <c r="D115" i="11"/>
  <c r="D115" i="1"/>
  <c r="A262" i="7"/>
  <c r="A230" i="7"/>
  <c r="A262" i="11"/>
  <c r="A230" i="11"/>
  <c r="A225" i="1"/>
  <c r="A269" i="7"/>
  <c r="A225" i="7"/>
  <c r="A269" i="11"/>
  <c r="A225" i="11"/>
  <c r="A269" i="1"/>
  <c r="A281" i="7"/>
  <c r="A281" i="1"/>
  <c r="A223" i="1"/>
  <c r="A231" i="11"/>
  <c r="A223" i="7"/>
  <c r="A231" i="7"/>
  <c r="A280" i="11"/>
  <c r="A270" i="19"/>
  <c r="A269" i="19"/>
  <c r="A259" i="19"/>
  <c r="A220" i="19"/>
  <c r="G27" i="22"/>
  <c r="D54" i="1"/>
  <c r="A205" i="1"/>
  <c r="A171" i="19"/>
  <c r="A275" i="7"/>
  <c r="A239" i="7"/>
  <c r="A275" i="11"/>
  <c r="A239" i="11"/>
  <c r="A275" i="1"/>
  <c r="A238" i="1"/>
  <c r="A278" i="7"/>
  <c r="A238" i="7"/>
  <c r="A278" i="11"/>
  <c r="A238" i="11"/>
  <c r="A278" i="1"/>
  <c r="A281" i="11"/>
  <c r="A236" i="1"/>
  <c r="A236" i="7"/>
  <c r="A263" i="1"/>
  <c r="A280" i="1"/>
  <c r="A263" i="11"/>
  <c r="A230" i="1"/>
  <c r="A223" i="11"/>
  <c r="A244" i="19"/>
  <c r="A279" i="19"/>
  <c r="A242" i="19"/>
  <c r="A278" i="19"/>
  <c r="A281" i="19"/>
  <c r="A240" i="19"/>
  <c r="A247" i="6"/>
  <c r="A78" i="1"/>
  <c r="C115" i="19"/>
  <c r="F69" i="19"/>
  <c r="B127" i="19"/>
  <c r="A165" i="19"/>
  <c r="A210" i="19"/>
  <c r="D65" i="1"/>
  <c r="A119" i="6"/>
  <c r="I5" i="3"/>
  <c r="B187" i="1"/>
  <c r="A158" i="1"/>
  <c r="D84" i="1"/>
  <c r="H5" i="1"/>
  <c r="C5" i="16"/>
  <c r="H69" i="19"/>
  <c r="B128" i="19"/>
  <c r="A166" i="19"/>
  <c r="A211" i="19"/>
  <c r="A217" i="6"/>
  <c r="A118" i="6"/>
  <c r="A7" i="4"/>
  <c r="A198" i="1"/>
  <c r="A161" i="1"/>
  <c r="D97" i="1"/>
  <c r="A32" i="1"/>
  <c r="A63" i="19"/>
  <c r="A1" i="16"/>
  <c r="A230" i="6"/>
  <c r="A43" i="19"/>
  <c r="F84" i="19"/>
  <c r="A162" i="19"/>
  <c r="A204" i="19"/>
  <c r="I5" i="21"/>
  <c r="A122" i="6"/>
  <c r="A15" i="4"/>
  <c r="A208" i="1"/>
  <c r="A196" i="19"/>
  <c r="A172" i="1"/>
  <c r="A279" i="7"/>
  <c r="A279" i="11"/>
  <c r="A279" i="1"/>
  <c r="A224" i="1"/>
  <c r="A241" i="7"/>
  <c r="A264" i="11"/>
  <c r="A277" i="1"/>
  <c r="A280" i="7"/>
  <c r="A271" i="1"/>
  <c r="A271" i="11"/>
  <c r="A263" i="19"/>
  <c r="A262" i="19"/>
  <c r="A241" i="19"/>
  <c r="A264" i="19"/>
  <c r="D5" i="16"/>
  <c r="D65" i="19"/>
  <c r="B139" i="19"/>
  <c r="B185" i="19"/>
  <c r="A15" i="22"/>
  <c r="A114" i="6"/>
  <c r="A210" i="1"/>
  <c r="A162" i="1"/>
  <c r="B80" i="1"/>
  <c r="F65" i="19"/>
  <c r="B140" i="19"/>
  <c r="A198" i="19"/>
  <c r="A17" i="22"/>
  <c r="A113" i="6"/>
  <c r="A213" i="1"/>
  <c r="A166" i="1"/>
  <c r="B84" i="1"/>
  <c r="A75" i="1"/>
  <c r="A190" i="1"/>
  <c r="B73" i="19"/>
  <c r="A156" i="19"/>
  <c r="A208" i="19"/>
  <c r="B185" i="1"/>
  <c r="B140" i="1"/>
  <c r="B73" i="1"/>
  <c r="A189" i="1"/>
  <c r="A217" i="19"/>
  <c r="A250" i="6"/>
  <c r="D73" i="19"/>
  <c r="A213" i="19"/>
  <c r="B148" i="1"/>
  <c r="A116" i="6"/>
  <c r="B97" i="19"/>
  <c r="A111" i="6"/>
  <c r="A157" i="19"/>
  <c r="F84" i="1"/>
  <c r="A160" i="19"/>
  <c r="C54" i="1"/>
  <c r="C54" i="19"/>
  <c r="A171" i="1"/>
  <c r="A172" i="19"/>
  <c r="A270" i="7"/>
  <c r="A270" i="11"/>
  <c r="A270" i="1"/>
  <c r="A232" i="7"/>
  <c r="A241" i="11"/>
  <c r="A264" i="1"/>
  <c r="A271" i="7"/>
  <c r="A236" i="11"/>
  <c r="G27" i="4"/>
  <c r="F54" i="1"/>
  <c r="D54" i="19"/>
  <c r="D115" i="7"/>
  <c r="A244" i="7"/>
  <c r="A244" i="11"/>
  <c r="A242" i="1"/>
  <c r="A242" i="7"/>
  <c r="A242" i="11"/>
  <c r="A241" i="1"/>
  <c r="A277" i="7"/>
  <c r="A224" i="7"/>
  <c r="A232" i="11"/>
  <c r="A240" i="1"/>
  <c r="A263" i="7"/>
  <c r="A240" i="11"/>
  <c r="A244" i="1"/>
  <c r="A280" i="19"/>
  <c r="A230" i="19"/>
  <c r="A225" i="19"/>
  <c r="A224" i="19"/>
  <c r="A231" i="19"/>
  <c r="A67" i="19"/>
  <c r="A27" i="19"/>
  <c r="B84" i="19"/>
  <c r="A158" i="19"/>
  <c r="A214" i="19"/>
  <c r="A1" i="6"/>
  <c r="B180" i="1"/>
  <c r="B138" i="1"/>
  <c r="A37" i="1"/>
  <c r="B115" i="19"/>
  <c r="D84" i="19"/>
  <c r="A161" i="19"/>
  <c r="A215" i="19"/>
  <c r="A17" i="4"/>
  <c r="B186" i="1"/>
  <c r="B146" i="1"/>
  <c r="B69" i="1"/>
  <c r="H69" i="1"/>
  <c r="C115" i="1"/>
  <c r="A32" i="19"/>
  <c r="B129" i="19"/>
  <c r="B180" i="19"/>
  <c r="G5" i="21"/>
  <c r="A117" i="6"/>
  <c r="G5" i="3"/>
  <c r="A165" i="1"/>
  <c r="B97" i="1"/>
  <c r="A27" i="1"/>
  <c r="F65" i="1"/>
  <c r="C191" i="6"/>
  <c r="B65" i="19"/>
  <c r="A164" i="19"/>
  <c r="A121" i="6"/>
  <c r="B138" i="19"/>
  <c r="B139" i="1"/>
  <c r="A205" i="19"/>
  <c r="B127" i="1"/>
  <c r="A5" i="22"/>
  <c r="A112" i="19"/>
  <c r="D115" i="19"/>
  <c r="A232" i="1"/>
  <c r="A264" i="7"/>
  <c r="A277" i="11"/>
  <c r="A224" i="11"/>
  <c r="A231" i="1"/>
  <c r="A240" i="7"/>
  <c r="A271" i="19"/>
  <c r="A275" i="19"/>
  <c r="A277" i="19"/>
  <c r="A223" i="19"/>
  <c r="A82" i="19"/>
  <c r="A37" i="19"/>
  <c r="D97" i="19"/>
  <c r="B178" i="19"/>
  <c r="A7" i="22"/>
  <c r="A214" i="1"/>
  <c r="A170" i="1"/>
  <c r="F97" i="1"/>
  <c r="A63" i="1"/>
  <c r="A190" i="19"/>
  <c r="F97" i="19"/>
  <c r="B179" i="19"/>
  <c r="H5" i="21"/>
  <c r="A123" i="6"/>
  <c r="H5" i="3"/>
  <c r="B179" i="1"/>
  <c r="B129" i="1"/>
  <c r="D5" i="1"/>
  <c r="A217" i="1"/>
  <c r="A135" i="6"/>
  <c r="B69" i="19"/>
  <c r="B146" i="19"/>
  <c r="B186" i="19"/>
  <c r="F222" i="6"/>
  <c r="A112" i="6"/>
  <c r="A212" i="1"/>
  <c r="A156" i="1"/>
  <c r="F80" i="1"/>
  <c r="A82" i="1"/>
  <c r="B115" i="1"/>
  <c r="D69" i="19"/>
  <c r="B187" i="19"/>
  <c r="A211" i="1"/>
  <c r="F221" i="6"/>
  <c r="F69" i="1"/>
  <c r="A43" i="1"/>
  <c r="A239" i="1"/>
  <c r="A10" i="6"/>
  <c r="D80" i="1"/>
  <c r="A239" i="19"/>
  <c r="A206" i="19"/>
  <c r="B147" i="1"/>
  <c r="A155" i="19"/>
  <c r="A209" i="1"/>
  <c r="A212" i="19"/>
  <c r="B128" i="1"/>
  <c r="H5" i="19"/>
  <c r="A207" i="1"/>
  <c r="A215" i="1"/>
  <c r="A238" i="19"/>
  <c r="A190" i="6"/>
  <c r="D69" i="1"/>
  <c r="A207" i="19"/>
  <c r="A157" i="1"/>
  <c r="D5" i="19"/>
  <c r="B65" i="1"/>
  <c r="F80" i="19"/>
  <c r="B147" i="19"/>
  <c r="A155" i="1"/>
  <c r="A232" i="19"/>
  <c r="F73" i="19"/>
  <c r="A75" i="19"/>
  <c r="F73" i="1"/>
  <c r="D80" i="19"/>
  <c r="A5" i="4"/>
  <c r="A67" i="1"/>
  <c r="D73" i="1"/>
  <c r="A164" i="1"/>
  <c r="A236" i="19"/>
  <c r="B148" i="19"/>
  <c r="A206" i="1"/>
  <c r="B80" i="19"/>
  <c r="A189" i="19"/>
  <c r="A170" i="19"/>
  <c r="B178" i="1"/>
  <c r="E5" i="16"/>
  <c r="A209" i="19"/>
</calcChain>
</file>

<file path=xl/sharedStrings.xml><?xml version="1.0" encoding="utf-8"?>
<sst xmlns="http://schemas.openxmlformats.org/spreadsheetml/2006/main" count="1095" uniqueCount="400">
  <si>
    <t>Abbreviated one-year questionnaire for new plans.</t>
  </si>
  <si>
    <t>2.</t>
  </si>
  <si>
    <t>3.</t>
  </si>
  <si>
    <t>4.</t>
  </si>
  <si>
    <t>Rating Contact's Phone Number</t>
  </si>
  <si>
    <t>Biweekly</t>
  </si>
  <si>
    <t>Net-to-Carrier</t>
  </si>
  <si>
    <t>Rates</t>
  </si>
  <si>
    <t>Income</t>
  </si>
  <si>
    <t>Service Charge</t>
  </si>
  <si>
    <t>( b ) Interest plus Investment Income</t>
  </si>
  <si>
    <t>(1) Income</t>
  </si>
  <si>
    <t>(2) Outgo</t>
  </si>
  <si>
    <t>(4) Reserve</t>
  </si>
  <si>
    <t>Abbreviated two-year questionnaire for plans in their second year of participation in the FEHBP.</t>
  </si>
  <si>
    <t>Net-Carrier</t>
  </si>
  <si>
    <t>Premium</t>
  </si>
  <si>
    <t>(a)</t>
  </si>
  <si>
    <t>Total Paid</t>
  </si>
  <si>
    <t>(b)</t>
  </si>
  <si>
    <t>Incurred Expenses</t>
  </si>
  <si>
    <t>Accrued Expenses</t>
  </si>
  <si>
    <t>Total Incurred</t>
  </si>
  <si>
    <t>Income consists of the net-to-carrier premium and a 4% load that results in the gross premium.  The enrollee and the government combined pay the gross</t>
  </si>
  <si>
    <t>Account (LOC), the Contingency Reserve Fund (CR), and the Premium Income Accrued but Unpaid.  The total funds less the CR are divided into the</t>
  </si>
  <si>
    <t>made which lower the CR balance below 1.5 months.</t>
  </si>
  <si>
    <t>Biweekly Net to</t>
  </si>
  <si>
    <t>Carrier Rates</t>
  </si>
  <si>
    <t>Enrollment</t>
  </si>
  <si>
    <t>Premium Income</t>
  </si>
  <si>
    <t>Calculated</t>
  </si>
  <si>
    <t>Actual</t>
  </si>
  <si>
    <t>Adj. Average</t>
  </si>
  <si>
    <t>Self</t>
  </si>
  <si>
    <t>Family</t>
  </si>
  <si>
    <t>Total</t>
  </si>
  <si>
    <t>x 26 =</t>
  </si>
  <si>
    <t xml:space="preserve">x 26 = </t>
  </si>
  <si>
    <t>Projected</t>
  </si>
  <si>
    <t xml:space="preserve">   (c) What is your estimate of the ultimate claims for each of the following years?</t>
  </si>
  <si>
    <t>x</t>
  </si>
  <si>
    <t xml:space="preserve">     What was the change in enrollment factor for:</t>
  </si>
  <si>
    <t>Calculated Factor</t>
  </si>
  <si>
    <t>(if necessary)</t>
  </si>
  <si>
    <t>Final Factor</t>
  </si>
  <si>
    <t>***Factors Affecting Incurred Claims Development***</t>
  </si>
  <si>
    <t>not representative of claims experience. Premium values in the projected year will still be displayed in Table 2.</t>
  </si>
  <si>
    <t>***Note***</t>
  </si>
  <si>
    <t>Aggregate</t>
  </si>
  <si>
    <t>Calc. Aggregate</t>
  </si>
  <si>
    <t>Manual Aggregate*</t>
  </si>
  <si>
    <t>Trend</t>
  </si>
  <si>
    <t>Inflation</t>
  </si>
  <si>
    <t>Utilization</t>
  </si>
  <si>
    <t>Factor</t>
  </si>
  <si>
    <t>=</t>
  </si>
  <si>
    <t>Selection</t>
  </si>
  <si>
    <t>Enr. Inc</t>
  </si>
  <si>
    <t>Enr. Dec</t>
  </si>
  <si>
    <t>Rel. Util Inc</t>
  </si>
  <si>
    <t>Rel. Util Dec</t>
  </si>
  <si>
    <t>Total Other</t>
  </si>
  <si>
    <t>Factors</t>
  </si>
  <si>
    <t>Benefit</t>
  </si>
  <si>
    <t>Other</t>
  </si>
  <si>
    <t>Claims</t>
  </si>
  <si>
    <t xml:space="preserve">   (c) Revised Accrued Claims Res (+ prior year run-out)</t>
  </si>
  <si>
    <t xml:space="preserve">   (g) Revised Special Reserve {(d) + (e) + (f) - (c) - (e)}</t>
  </si>
  <si>
    <t>Year</t>
  </si>
  <si>
    <t>Paid Expenses</t>
  </si>
  <si>
    <t>Expenses</t>
  </si>
  <si>
    <t>Administrative</t>
  </si>
  <si>
    <t>Incurred Expense</t>
  </si>
  <si>
    <t>Accrued Expense</t>
  </si>
  <si>
    <t>Estimated</t>
  </si>
  <si>
    <t>None</t>
  </si>
  <si>
    <t>January</t>
  </si>
  <si>
    <t>February</t>
  </si>
  <si>
    <t>March</t>
  </si>
  <si>
    <t xml:space="preserve">April </t>
  </si>
  <si>
    <t>May</t>
  </si>
  <si>
    <t>June</t>
  </si>
  <si>
    <t>July</t>
  </si>
  <si>
    <t>August</t>
  </si>
  <si>
    <t>September</t>
  </si>
  <si>
    <t xml:space="preserve">October </t>
  </si>
  <si>
    <t>November</t>
  </si>
  <si>
    <t>December</t>
  </si>
  <si>
    <t>Table One: Projected Financial Results</t>
  </si>
  <si>
    <t>A. Income</t>
  </si>
  <si>
    <t>B. Outgo</t>
  </si>
  <si>
    <t>C. Comparisons of Income and Outgo</t>
  </si>
  <si>
    <t>D. Reserves</t>
  </si>
  <si>
    <t>Adjustment Fact.</t>
  </si>
  <si>
    <t xml:space="preserve">of a factor which is different than the one that is automatically calculated by the program based on changes in premium rates.  This is useful if premiums are </t>
  </si>
  <si>
    <t>Excess Reserves' as positive values.</t>
  </si>
  <si>
    <t>with the Actual Premium Income to date.  Use the fact that: (1) most second monthly payments consist of one monthly annuitant premium and one biweekly</t>
  </si>
  <si>
    <t>premium and (2) most first monthly payments consist of one biweekly premium.  A semi-monthly payment may contain two biweekly premiums.</t>
  </si>
  <si>
    <t xml:space="preserve">Actual Premium Income = </t>
  </si>
  <si>
    <t>Adjusted Enrollment = Initial Estimated Enrollment * Actual Premium Income / Calculated Income</t>
  </si>
  <si>
    <t>Methodology of Question 9</t>
  </si>
  <si>
    <t>Methodology of Question 10</t>
  </si>
  <si>
    <t>Methodology of Question 11</t>
  </si>
  <si>
    <t>The change in benefit factor is normally based on the biweekly net-to-carrier premium benefit changes used in prior rate submissions.  The enrollments</t>
  </si>
  <si>
    <t>from the year of the benefit change are used as weights.  Better estimates may be substituted, however even these values will not be exact if the biweekly</t>
  </si>
  <si>
    <t>net-to-carrier premium (used as the denominator) is not representative of actual expenses.  The premium-based factors may be overridden by the manually</t>
  </si>
  <si>
    <t>set aggregate factor.</t>
  </si>
  <si>
    <t>Methodology of Question 12</t>
  </si>
  <si>
    <t>Methodology of Question 13</t>
  </si>
  <si>
    <t>The calculation of selection factors is described by the following formula:</t>
  </si>
  <si>
    <t xml:space="preserve">                       1 + ( EI - 1 ) + ( ED - 1 )</t>
  </si>
  <si>
    <t>Where:</t>
  </si>
  <si>
    <t>SEL = Selection Factor</t>
  </si>
  <si>
    <t>EI    = Enrollment Increase Factor</t>
  </si>
  <si>
    <t>ED   = Enrollment Decrease Factor</t>
  </si>
  <si>
    <t>RUI  = Relative Utilization of Enrollment Increases</t>
  </si>
  <si>
    <t>RUD = Relative Utilization of Enrollment Decreases</t>
  </si>
  <si>
    <t>Methodology of Question 14</t>
  </si>
  <si>
    <t>These values allow for other factors not already considered.</t>
  </si>
  <si>
    <t>Methodology of Question 16</t>
  </si>
  <si>
    <t>Claims incurred but unpaid for prior years are added to the revised accrued reserve.</t>
  </si>
  <si>
    <t>Accrued Reserves</t>
  </si>
  <si>
    <t>**P1's numerator is reduced by claims incurred but unpaid for prior years</t>
  </si>
  <si>
    <t>Administrative Paid Expense (Year) = P3 * Administrative Incurred Expense (Year) + (1-P3) * Administrative Incurred Expense (Year - 1)</t>
  </si>
  <si>
    <t>Administrative Accrued Expenses = Administrative Incurred Expenses * (1 - P3)</t>
  </si>
  <si>
    <t>Incurred Expenses refer to the sum of Administrative Incurred Expenses and Total Other Expenses.</t>
  </si>
  <si>
    <t>Explanation of Reserves:</t>
  </si>
  <si>
    <t>Explanation of Premium Income:</t>
  </si>
  <si>
    <t>Annuitants are paid monthly.</t>
  </si>
  <si>
    <t>Automatic CR Payment Formula:</t>
  </si>
  <si>
    <t>Calculation of the CR Balance:</t>
  </si>
  <si>
    <t>Explanation of Interest plus Investment Income:</t>
  </si>
  <si>
    <t>(4) Three and One-Half Months of Paid Outgo: [(7/12) * (2)] + [(7/24) * (3)]</t>
  </si>
  <si>
    <t>(5) Preferred Minimum Balance of 1-1/2 Months of Paid Outgo: [(3/7) * (4)]</t>
  </si>
  <si>
    <t xml:space="preserve">     (a) (4) - (6) [put 0 here if (4) - (6) is negative]</t>
  </si>
  <si>
    <t xml:space="preserve">     (b) (1) - (5) [put 0 here if (1) - (5) is negative] </t>
  </si>
  <si>
    <t xml:space="preserve">     (c) Contingency Reserve Payment: Lesser of (a) and (b)</t>
  </si>
  <si>
    <t xml:space="preserve">     (d) Return of Excess to the Contingency Reserve Fund: If (4) - (6) is negative, that is if the accrued reserve plus special reserve exceeds 3-1/2 months of </t>
  </si>
  <si>
    <t xml:space="preserve">    </t>
  </si>
  <si>
    <t xml:space="preserve">           IR = Interest Rate</t>
  </si>
  <si>
    <t xml:space="preserve">           BCR = Beginning Contingency Reserve Balance</t>
  </si>
  <si>
    <t xml:space="preserve">              payment is calculated individually.</t>
  </si>
  <si>
    <t>(5) Estimated Paid Claims = Incurred claims of present year * P3 + Incurred claims of prior year * (1 - P3)</t>
  </si>
  <si>
    <t>(2)(c) Total of (a) + (b)</t>
  </si>
  <si>
    <t>NOTE: IF YOUR CLAIMS ARE ZERO,</t>
  </si>
  <si>
    <t>TO ADJUST YOUR TREND FACTOR</t>
  </si>
  <si>
    <t>in the last 6 months is the previous year's figure increased by the ratio of the present year's incurred claim to the previous year's incurred claim.</t>
  </si>
  <si>
    <t>If you have manually set the aggregate factor, place an "X" in the box below:</t>
  </si>
  <si>
    <t>Month</t>
  </si>
  <si>
    <t>Amount Paid</t>
  </si>
  <si>
    <t>April</t>
  </si>
  <si>
    <t>===============Year Incurred================</t>
  </si>
  <si>
    <t>Facility Capital</t>
  </si>
  <si>
    <t>Your submission is due on May 31.</t>
  </si>
  <si>
    <t>Values come directly from the summary statement of your AAS. Remember to show values for 'Accrued Income of Previous Year' and 'Return of</t>
  </si>
  <si>
    <t>Administrative Incurred Expenses are calculated by solving for its value in the following equation:</t>
  </si>
  <si>
    <t>months, the lesser of the deficiency or the CR in excess of 1.5 months is transferred from the CR to the LOC.  If circumstances warrant, special transfers are</t>
  </si>
  <si>
    <t xml:space="preserve">              The formula assumes these payments are made in the middle of the month it was entered.  Instead of using half of the CRP, each</t>
  </si>
  <si>
    <t xml:space="preserve">Benefit Change </t>
  </si>
  <si>
    <t xml:space="preserve">          total outgo, the excess must be returned to the contingency reserve fund. It is (6) - (4).</t>
  </si>
  <si>
    <t xml:space="preserve"> (usually this will be $0)</t>
  </si>
  <si>
    <t xml:space="preserve">(3) Gain (Loss) </t>
  </si>
  <si>
    <t>Average Investment Balance = Beginning Accrued Claims Reserve + Accrued Admin Expense Reserve + Special Reserve - Premium Income Accrued but Unpaid</t>
  </si>
  <si>
    <t xml:space="preserve">This amount is based on the average investment balance and the LOC interest rate.  </t>
  </si>
  <si>
    <t>Premium income at mid-year is then added and estimated paid claims, paid administrative expenses and total other expenses are subtracted at mid-year.</t>
  </si>
  <si>
    <t>(Usually this will be 0.0)</t>
  </si>
  <si>
    <t>rate.  The net-to-carrier premium (referred to as the semi-monthly premium income on the accounting statement) is deposited into the LOC and</t>
  </si>
  <si>
    <t xml:space="preserve">      </t>
  </si>
  <si>
    <t>and are not revised.</t>
  </si>
  <si>
    <t>* Manual benefit factors should have a value of zero if you are using the calculated aggregate factor</t>
  </si>
  <si>
    <t xml:space="preserve">PROPOSAL FOR </t>
  </si>
  <si>
    <t>FEHB Experience Rated Proposal</t>
  </si>
  <si>
    <t>Premiums (Default)</t>
  </si>
  <si>
    <t xml:space="preserve">Your Claims </t>
  </si>
  <si>
    <t>Proxy Claims</t>
  </si>
  <si>
    <t>Premiums (default)</t>
  </si>
  <si>
    <t>Your Claims</t>
  </si>
  <si>
    <t>Premiums(default)</t>
  </si>
  <si>
    <r>
      <t xml:space="preserve">SEL = </t>
    </r>
    <r>
      <rPr>
        <u/>
        <sz val="11"/>
        <rFont val="Calibri"/>
        <family val="2"/>
        <scheme val="minor"/>
      </rPr>
      <t>1+ [ ( EI - 1 ) * RUI ] + [ ( ED - 1 ) * RUD</t>
    </r>
    <r>
      <rPr>
        <sz val="11"/>
        <rFont val="Calibri"/>
        <family val="2"/>
        <scheme val="minor"/>
      </rPr>
      <t>]</t>
    </r>
  </si>
  <si>
    <r>
      <t xml:space="preserve">The </t>
    </r>
    <r>
      <rPr>
        <b/>
        <sz val="11"/>
        <rFont val="Calibri"/>
        <family val="2"/>
        <scheme val="minor"/>
      </rPr>
      <t>total funds available</t>
    </r>
    <r>
      <rPr>
        <sz val="11"/>
        <rFont val="Calibri"/>
        <family val="2"/>
        <scheme val="minor"/>
      </rPr>
      <t xml:space="preserve"> to pay claims that have been incurred (but not yet paid) is the sum of the carrier's Working Capital account, the Letter of Credit</t>
    </r>
  </si>
  <si>
    <r>
      <t>Accrued Claims Reserve, the Accrued Administrative Expense Reserve, and the Special Reserve.  The</t>
    </r>
    <r>
      <rPr>
        <b/>
        <sz val="11"/>
        <rFont val="Calibri"/>
        <family val="2"/>
        <scheme val="minor"/>
      </rPr>
      <t xml:space="preserve"> Accrued Claims Reserve</t>
    </r>
    <r>
      <rPr>
        <sz val="11"/>
        <rFont val="Calibri"/>
        <family val="2"/>
        <scheme val="minor"/>
      </rPr>
      <t xml:space="preserve"> is an estimate of the</t>
    </r>
  </si>
  <si>
    <r>
      <t xml:space="preserve">funds needed to pay claims that have been incurred but not yet paid.  The </t>
    </r>
    <r>
      <rPr>
        <b/>
        <sz val="11"/>
        <rFont val="Calibri"/>
        <family val="2"/>
        <scheme val="minor"/>
      </rPr>
      <t>Accrued Administrative Expense Reserve</t>
    </r>
    <r>
      <rPr>
        <sz val="11"/>
        <rFont val="Calibri"/>
        <family val="2"/>
        <scheme val="minor"/>
      </rPr>
      <t xml:space="preserve"> is an estimate of the funds</t>
    </r>
  </si>
  <si>
    <r>
      <t xml:space="preserve">needed to administer the payment of those claims.  The </t>
    </r>
    <r>
      <rPr>
        <b/>
        <sz val="11"/>
        <rFont val="Calibri"/>
        <family val="2"/>
        <scheme val="minor"/>
      </rPr>
      <t>Special Reserve</t>
    </r>
    <r>
      <rPr>
        <sz val="11"/>
        <rFont val="Calibri"/>
        <family val="2"/>
        <scheme val="minor"/>
      </rPr>
      <t xml:space="preserve"> (which may be negative) is the amount in excess of the accrued reserves.  We</t>
    </r>
  </si>
  <si>
    <r>
      <t xml:space="preserve">define the </t>
    </r>
    <r>
      <rPr>
        <b/>
        <sz val="11"/>
        <rFont val="Calibri"/>
        <family val="2"/>
        <scheme val="minor"/>
      </rPr>
      <t>Total Unobligated Reserves</t>
    </r>
    <r>
      <rPr>
        <sz val="11"/>
        <rFont val="Calibri"/>
        <family val="2"/>
        <scheme val="minor"/>
      </rPr>
      <t xml:space="preserve"> as the sum of the special reserve and CR.  We attempt to set a premium rate that will allow the Total</t>
    </r>
  </si>
  <si>
    <r>
      <t xml:space="preserve">Unobligated Reserves to approach three months of Outgo, where </t>
    </r>
    <r>
      <rPr>
        <b/>
        <sz val="11"/>
        <rFont val="Calibri"/>
        <family val="2"/>
        <scheme val="minor"/>
      </rPr>
      <t>Outgo</t>
    </r>
    <r>
      <rPr>
        <sz val="11"/>
        <rFont val="Calibri"/>
        <family val="2"/>
        <scheme val="minor"/>
      </rPr>
      <t xml:space="preserve"> is defined as the sum of Incurred Claims and Incurred Expenses.</t>
    </r>
  </si>
  <si>
    <t>You must fully document all estimates with respect to assumptions and actuarial methodology.</t>
  </si>
  <si>
    <t xml:space="preserve">    If there are multiple CR payments 0.25 is not applied to (3), instead payments are treated individually and assumed to occur mid-month.</t>
  </si>
  <si>
    <t>The contingency reserve payment (positive or negative) is added/subtracted at either September or multiple payments at mid-month.</t>
  </si>
  <si>
    <t xml:space="preserve">     = IR * [BCR + .5 * PCR - .25 * CRP]</t>
  </si>
  <si>
    <t xml:space="preserve">     = IR * [ (1) + 0.5 * (8) + 0.25 * [(7)(d) - (7)(c)]]</t>
  </si>
  <si>
    <t>Self Plus One</t>
  </si>
  <si>
    <t>on premium rate changes that were agreed upon during prior rating unless better data is available.  Checking the "Manually Set Aggregate Factor" box allows the input</t>
  </si>
  <si>
    <t xml:space="preserve">Biweekly Benefit Change </t>
  </si>
  <si>
    <t>Either claims or the biweekly net-to-carrier premium rates (self, self plus one, and family) of the starting year are used to weight the change in enrollment.  Claims may be</t>
  </si>
  <si>
    <t>If you have any questions, please contact Ron Gresch, Brenna Scheideman or Rebecca Kander at (202) 606-0722.</t>
  </si>
  <si>
    <t>Biweekly Benefit Change</t>
  </si>
  <si>
    <t xml:space="preserve">   Administrative Paid Expenses should include reinsurance, statutory reserve, managed care, and all other outgos other than claims negotiated with the Office of Insurance Operations</t>
  </si>
  <si>
    <t xml:space="preserve">**Total Other Expenses should include Service Charge, Clearinghouse and ACA taxes and fees (including associated income tax) </t>
  </si>
  <si>
    <t>Est. Increase to Enrollee</t>
  </si>
  <si>
    <t xml:space="preserve">If your plan has or will receive CR payments different than the formula driven payments, answer questions  'a' through 'l'. </t>
  </si>
  <si>
    <t xml:space="preserve">These payments are in lieu of the regular formula driven payments. </t>
  </si>
  <si>
    <t>Table Two: Information for Insurance Operations</t>
  </si>
  <si>
    <t>Projected Financial Results</t>
  </si>
  <si>
    <t>Est. Inc. to Max. Gov't Contrib.**</t>
  </si>
  <si>
    <t>Est. Inc. to Max. Gov't Contrib.</t>
  </si>
  <si>
    <t>The enrollee and the government combined pay the gross rates (the net-to-carrier rate and a 4% load).</t>
  </si>
  <si>
    <t>of the plan's premium, or</t>
  </si>
  <si>
    <t>of the weighted average of FEHBP premiums</t>
  </si>
  <si>
    <t>1. Income and Interest Amounts from Year End Accounting Statements</t>
  </si>
  <si>
    <t>4. Claims Experience</t>
  </si>
  <si>
    <r>
      <t xml:space="preserve">5. Place an X in the appropriate box to select which weighted average method you wish to use </t>
    </r>
    <r>
      <rPr>
        <b/>
        <i/>
        <sz val="11"/>
        <color indexed="10"/>
        <rFont val="Calibri"/>
        <family val="2"/>
      </rPr>
      <t>(PLACE AN X IN ONLY ONE BOX)</t>
    </r>
    <r>
      <rPr>
        <b/>
        <sz val="11"/>
        <rFont val="Calibri"/>
        <family val="2"/>
      </rPr>
      <t>:</t>
    </r>
  </si>
  <si>
    <t>For item 6, you should weight the aggregate benefit factor for self, self plus one, and family contracts by premiums and enrollment. You should base all benefit changes</t>
  </si>
  <si>
    <t>7. What was the trend factor for:</t>
  </si>
  <si>
    <t>9. Enter any other factors, such as the institution or expansion of a PPO, that will effect incurred claims:</t>
  </si>
  <si>
    <t>10. Summary of Incurred Claims Development:</t>
  </si>
  <si>
    <t>YOU MUST GO BACK TO QUESTION 7</t>
  </si>
  <si>
    <t>12. Accrued Claims Reserves</t>
  </si>
  <si>
    <t>13. Expenses **</t>
  </si>
  <si>
    <r>
      <t xml:space="preserve">5. Place an X in the appropriate box to select which weighted average method you wish to use </t>
    </r>
    <r>
      <rPr>
        <b/>
        <sz val="11"/>
        <color indexed="10"/>
        <rFont val="Calibri"/>
        <family val="2"/>
        <scheme val="minor"/>
      </rPr>
      <t>(PLACE AN X IN ONLY ONE BOX)</t>
    </r>
    <r>
      <rPr>
        <b/>
        <sz val="11"/>
        <rFont val="Calibri"/>
        <family val="2"/>
        <scheme val="minor"/>
      </rPr>
      <t>:</t>
    </r>
  </si>
  <si>
    <r>
      <t xml:space="preserve">5. Place an X in the appropriate box to select which weighted average method you wish to use </t>
    </r>
    <r>
      <rPr>
        <sz val="11"/>
        <color indexed="10"/>
        <rFont val="Calibri"/>
        <family val="2"/>
        <scheme val="minor"/>
      </rPr>
      <t>(PLACE AN X IN ONLY ONE BOX)</t>
    </r>
    <r>
      <rPr>
        <sz val="11"/>
        <rFont val="Calibri"/>
        <family val="2"/>
        <scheme val="minor"/>
      </rPr>
      <t>:</t>
    </r>
  </si>
  <si>
    <t>FEHBP EXPERIENCE RATED PROPOSAL</t>
  </si>
  <si>
    <t>10. Summary of Incurred Claims Development</t>
  </si>
  <si>
    <t xml:space="preserve">    (b) Interest Plus Investment Income</t>
  </si>
  <si>
    <t xml:space="preserve">           (1) Income</t>
  </si>
  <si>
    <t xml:space="preserve">           (2) Outgo</t>
  </si>
  <si>
    <t xml:space="preserve">           (3) Gain (Loss)  </t>
  </si>
  <si>
    <t xml:space="preserve">           (4) Reserves</t>
  </si>
  <si>
    <t xml:space="preserve">    (b) Interest plus Investment Income</t>
  </si>
  <si>
    <t xml:space="preserve">           (4) Three and One-Half Months of Paid Outgo</t>
  </si>
  <si>
    <t xml:space="preserve">           (5) Preferred Minimum Balance of 1-1/2 Months of Paid Outgo</t>
  </si>
  <si>
    <t xml:space="preserve">           (3) Gain (Loss) </t>
  </si>
  <si>
    <t xml:space="preserve">                (a) Premium Income</t>
  </si>
  <si>
    <t xml:space="preserve">                (c) Interest Plus Investment Income</t>
  </si>
  <si>
    <t xml:space="preserve">                (d) Total</t>
  </si>
  <si>
    <t xml:space="preserve">                (a) Incurred Claims </t>
  </si>
  <si>
    <t xml:space="preserve">                (b) Incurred Expenses  </t>
  </si>
  <si>
    <t xml:space="preserve">                (c) Total</t>
  </si>
  <si>
    <t xml:space="preserve">                (b) Ending Special</t>
  </si>
  <si>
    <t xml:space="preserve">                (c) Ending Contingency </t>
  </si>
  <si>
    <t xml:space="preserve">                (a) (4)-(6) =</t>
  </si>
  <si>
    <t xml:space="preserve">                (b) (1)-(5) =</t>
  </si>
  <si>
    <t xml:space="preserve">                (c) Contingency Reserve Payment (Lesser of (a) and (b))</t>
  </si>
  <si>
    <t xml:space="preserve">                (d) Return of Excess to the Contingency Reserve Fund:</t>
  </si>
  <si>
    <t xml:space="preserve">                      If (4)-(6) is negative (accrued reserve plus special reserve exceeds 3 1/2 months of total outgo) the excess must be returned to the contingency reserve</t>
  </si>
  <si>
    <t xml:space="preserve">                (b) Contingency Reserve Payment</t>
  </si>
  <si>
    <t xml:space="preserve">                (a) Claims </t>
  </si>
  <si>
    <t xml:space="preserve">                (b) Expenses</t>
  </si>
  <si>
    <t xml:space="preserve">                (a) Beginning Special </t>
  </si>
  <si>
    <t xml:space="preserve">                (b) Ending Special </t>
  </si>
  <si>
    <t xml:space="preserve">                (c) Ending Contingency</t>
  </si>
  <si>
    <t>FEHB EXPERIENCE RATED PROPOSAL</t>
  </si>
  <si>
    <t>13.</t>
  </si>
  <si>
    <t>Expenses **</t>
  </si>
  <si>
    <t xml:space="preserve">      ( a ) Premium Income</t>
  </si>
  <si>
    <t xml:space="preserve">      ( c ) Interest Plus Investment Income</t>
  </si>
  <si>
    <t xml:space="preserve">      ( d ) Total</t>
  </si>
  <si>
    <t xml:space="preserve">      ( a ) Claims </t>
  </si>
  <si>
    <t xml:space="preserve">      ( b ) Expenses</t>
  </si>
  <si>
    <t xml:space="preserve">      ( c ) Total</t>
  </si>
  <si>
    <t xml:space="preserve">      ( b ) Ending Special </t>
  </si>
  <si>
    <t xml:space="preserve">      ( c ) Ending Contingency </t>
  </si>
  <si>
    <t>Methodology of Question 1</t>
  </si>
  <si>
    <t>Methodology of Question 2</t>
  </si>
  <si>
    <t>Methodology of Question 3</t>
  </si>
  <si>
    <t>Methodology of Question 4</t>
  </si>
  <si>
    <t>Methodology of Question 5</t>
  </si>
  <si>
    <t>Methodology of Question 6</t>
  </si>
  <si>
    <t>Methodology of Question 7</t>
  </si>
  <si>
    <t>Methodology of Question 8</t>
  </si>
  <si>
    <t>The factors of Questions 5 - 9 are summarized and used to calculate claims.  See Methodology of Questions 4 and 7 regarding the first trend value.</t>
  </si>
  <si>
    <t xml:space="preserve">The ultimate claims for the two most recent years will be carried forward to Question 10 where a trend will be solved for and compared to your stated trend </t>
  </si>
  <si>
    <t xml:space="preserve">This question asks for historical claims data.  This data is used in Question 11 to adjust your accounting statement's Accrued Reserve and Special Reserve.  </t>
  </si>
  <si>
    <t>given in Question 7.</t>
  </si>
  <si>
    <t>The computed portion of claims is used in Question 12 to estimate Accrued Reserves, in Question 13 to calculate Administrative Incurred and Accrued</t>
  </si>
  <si>
    <t>Expenses, and in Questions 15 and 16 to calculate Estimated Paid Claims.</t>
  </si>
  <si>
    <t>actual or relative.  Enrollment sums for self, self plus one, and family must equal the adjusted enrollments in Question 2. The default calculation uses premiums as weights</t>
  </si>
  <si>
    <t>An adjustment factor will only be applied if claims or proxy claims are used as weights.</t>
  </si>
  <si>
    <t xml:space="preserve">The Administrative Expense Reserve, Accrued Expense Reserve, and Special Reserve ( entered in 11(d), 11(e), and 11(f) ) come directly from the accounting statement </t>
  </si>
  <si>
    <t>**Claims are from Questions 4 and 10</t>
  </si>
  <si>
    <t>**P1, P2, and P3 are from Question 4</t>
  </si>
  <si>
    <t>The values in 13(a), 13(c) and 13(d) are inputs.  There is no check for reasonableness.</t>
  </si>
  <si>
    <t>(P3 is defined in Question 12)</t>
  </si>
  <si>
    <t>In Questions 15 and 16, as well as Table 1, Paid Expenses refer to the sum of Administrative Paid Expenses and Total Other Expenses.</t>
  </si>
  <si>
    <t>Methodology of Question 15 and 16</t>
  </si>
  <si>
    <t>Methodology of Question 15 (a)</t>
  </si>
  <si>
    <t>(2) Entered at 14(a)(2)</t>
  </si>
  <si>
    <t>(1) Entered at 14(a)(1)</t>
  </si>
  <si>
    <t>(3) Entered at 13(a): sum of Administrative Paid Expense and Total Other Expense</t>
  </si>
  <si>
    <r>
      <t xml:space="preserve">     </t>
    </r>
    <r>
      <rPr>
        <i/>
        <sz val="11"/>
        <rFont val="Calibri"/>
        <family val="2"/>
        <scheme val="minor"/>
      </rPr>
      <t>Note</t>
    </r>
    <r>
      <rPr>
        <sz val="11"/>
        <rFont val="Calibri"/>
        <family val="2"/>
        <scheme val="minor"/>
      </rPr>
      <t>: If you choose to enter Special Contingency Reserve Payments in Question 14(a)(1)(a) through (f), then these payments are used.</t>
    </r>
  </si>
  <si>
    <t>Methodology of Question 15 (b)</t>
  </si>
  <si>
    <t>(1) From 15(a)(6)</t>
  </si>
  <si>
    <t>a. Program Income</t>
  </si>
  <si>
    <t xml:space="preserve">     1. L.O.C Authorizations</t>
  </si>
  <si>
    <t xml:space="preserve">    2. Accrued Income - 12/31 of Previous Year</t>
  </si>
  <si>
    <t xml:space="preserve">     3. Accrued Income - 12/31 of Current Year</t>
  </si>
  <si>
    <t xml:space="preserve">     4. Carrier Interest Income</t>
  </si>
  <si>
    <t xml:space="preserve">         (a) S-M Premiums</t>
  </si>
  <si>
    <t xml:space="preserve">         (b) LOC Interest</t>
  </si>
  <si>
    <t>b. Contingency Reserve Payments</t>
  </si>
  <si>
    <t>c. Return of Excess Reserves</t>
  </si>
  <si>
    <t>(2) From 1(a)(3)(a)</t>
  </si>
  <si>
    <t>(3) From 15(a)(7)</t>
  </si>
  <si>
    <t>(4) From 2</t>
  </si>
  <si>
    <t xml:space="preserve">     Incurred claims are from Question 10. See definition of P3 in Methodology of Question 12</t>
  </si>
  <si>
    <t>(6) From 13(a) : Sum of Administrative Paid Expense and Total Other Expense.</t>
  </si>
  <si>
    <t>(1)(a) From 15(b)(4)</t>
  </si>
  <si>
    <t>(1)(b) From 15(a)(7)</t>
  </si>
  <si>
    <t>(1)(c) From 15(b)(8)</t>
  </si>
  <si>
    <t>(2)(a) From 10</t>
  </si>
  <si>
    <t>(2)(b) Incurred Administrative Expense from 13(b) plus Total Other Expense from 13(a)</t>
  </si>
  <si>
    <t>(3) Equals 15(c)(1)(d) - 15(c)(2)(c)</t>
  </si>
  <si>
    <t>(4)(a) From 11(f)</t>
  </si>
  <si>
    <t>(4)(b) Equals 15(c)(3) + 15(c)(4)(a)</t>
  </si>
  <si>
    <t>Yr 1 LOC Int Rate</t>
  </si>
  <si>
    <t>Yr 2 LOC Int Rate</t>
  </si>
  <si>
    <t>Yr 1 CR Int Rate</t>
  </si>
  <si>
    <t>Yr 2 CR Int Rate</t>
  </si>
  <si>
    <t>Methodology of Question 15 (c)</t>
  </si>
  <si>
    <t>except in 16(a):</t>
  </si>
  <si>
    <t>and except in 16(b):</t>
  </si>
  <si>
    <t>Same methods as in Question 15</t>
  </si>
  <si>
    <t>Rating Contact's Email</t>
  </si>
  <si>
    <t>FFS</t>
  </si>
  <si>
    <t>HMO</t>
  </si>
  <si>
    <t xml:space="preserve">FFS/HMO </t>
  </si>
  <si>
    <t>Yes</t>
  </si>
  <si>
    <t>Other Factor #1:</t>
  </si>
  <si>
    <t>Other Factor #2:</t>
  </si>
  <si>
    <t>Explain your proposed reserve goal.</t>
  </si>
  <si>
    <t>If your plan has or will receive the all or part of the formula driven payment, as well as additional CR payments, you must also list the formula driven payment as a special CR payment.</t>
  </si>
  <si>
    <t>Describe any taxes and fees included in your expenses.</t>
  </si>
  <si>
    <t>Describe any Reinsurance Arrangements and/or Additional Reserves held to pay claims.</t>
  </si>
  <si>
    <t>** These changes should be supported through your benefit change documentation submitted with your rate proposal</t>
  </si>
  <si>
    <t>Monthly</t>
  </si>
  <si>
    <t>Bi-Weekly</t>
  </si>
  <si>
    <t>8. Enter the selection factors for a given year using the following:</t>
  </si>
  <si>
    <t xml:space="preserve">Display the premium contributions in the table below as:  </t>
  </si>
  <si>
    <t>If your plan has more than one option, rate each option as a separate plan and submit separate documentation for each option.</t>
  </si>
  <si>
    <t xml:space="preserve">First Year in the FEHB </t>
  </si>
  <si>
    <t>Instructions for FEHB Rate Proposal</t>
  </si>
  <si>
    <t xml:space="preserve">(1)(d) Total of (a) + (b) + (c) </t>
  </si>
  <si>
    <t>2.  Rate Proposal</t>
  </si>
  <si>
    <t xml:space="preserve">      You should set your proposed rates so the sum of the ending special reserve balance plus the</t>
  </si>
  <si>
    <t xml:space="preserve">      ending contingency reserve balance moves toward the reserve goal of three months of total outgo.</t>
  </si>
  <si>
    <t xml:space="preserve">      The Help worksheet describes most calculations and gives background on various terms used in </t>
  </si>
  <si>
    <t xml:space="preserve">      the Rate Proposal. Click on any cell in the Rate Proposal to see the formula used.</t>
  </si>
  <si>
    <t>Your submission should include the following:</t>
  </si>
  <si>
    <t xml:space="preserve">Your submission should be uploaded in the Excel format it is currently in. The worksheets are   </t>
  </si>
  <si>
    <t>formatted so a readable printout can be obtained if you would require a hard copy for your records.</t>
  </si>
  <si>
    <t xml:space="preserve">Your submission should be uploaded to us using the FEHB Rate Submission Tool at  </t>
  </si>
  <si>
    <t>http://www.opm.gov/FehbTools/Rates/.  For assistance uploading your rates, contact actuary@opm.gov.</t>
  </si>
  <si>
    <t>Proposal Submission</t>
  </si>
  <si>
    <t>FEHB Experience Rated Proposal Questions</t>
  </si>
  <si>
    <t>1.  Proposal Questions</t>
  </si>
  <si>
    <t xml:space="preserve">      If a question does not apply to your plan, please explain why.</t>
  </si>
  <si>
    <t>How do your trend factors compare with trend estimates used in last year's rate proposal? Please explain any discrepancies.</t>
  </si>
  <si>
    <t>Other Factor #3:</t>
  </si>
  <si>
    <t>Projected Monthly Income and Outgo</t>
  </si>
  <si>
    <t>Incurred Premium Income</t>
  </si>
  <si>
    <t>Total Outgo</t>
  </si>
  <si>
    <t xml:space="preserve"> </t>
  </si>
  <si>
    <t>For most Postal employees the maximum Postal contribution formula differs from the non-Postal and annuitant government contribution formula.  The contribution formula used for Postal employees is determined by the Postal Service and their various union agreements.</t>
  </si>
  <si>
    <t xml:space="preserve">      explain why your proposed rates are more reasonable than rates which would achieve the goal</t>
  </si>
  <si>
    <t xml:space="preserve">3.   HMO's must complete and submit months January through April of Table 3 -  Health Benefit Charges Paid (Orange tab of </t>
  </si>
  <si>
    <t>Selection as a result of movement between plans in the FEHBP is common. You can quantify this factor for a given year using the table in item 8. If you include selection factors, please review the Methodology of Question 8 in the 'Help' sheet and the 'Rate Proposal - Example' for explanation on how to correctly input selection factors.</t>
  </si>
  <si>
    <t>No</t>
  </si>
  <si>
    <t xml:space="preserve">           (5) Unobligated Reserve (in number of months)</t>
  </si>
  <si>
    <t>(5) Unobligated Reserve (in number of months)</t>
  </si>
  <si>
    <t>E. Unobligated Reserve (in # of months)</t>
  </si>
  <si>
    <t>Weighted Average Self</t>
  </si>
  <si>
    <t>Weighted Average Plus</t>
  </si>
  <si>
    <t>Weighted Average Fam</t>
  </si>
  <si>
    <t>The amount the government contributes towards individual premiums is based on regulations.  The current contribution formula, commonly referred</t>
  </si>
  <si>
    <t>March's official OPM headcount of enrollees who received a government contribution (see Title 5 U.S.C _ 8906(a), (b), and OPM's 5 C.F.R. Part 890).</t>
  </si>
  <si>
    <t xml:space="preserve">to as the ' Fair Share Formula ',  covers non-Postal employees and Annuitants.  The regulation states that the maximum government contributions are </t>
  </si>
  <si>
    <t>Most employees are paid on a biweekly basis, therefore the net-to-carrier rates negotiated and settled with plans are contractually done on a biweekly basis.</t>
  </si>
  <si>
    <t xml:space="preserve">determined by taking 72% of the weighted average FEHBP biweekly rates (Self, Self Plus One, and Family separately), where weights are the prior </t>
  </si>
  <si>
    <t>The biweekly gross rates are equal to the biweekly net-to-carrier rates multiplied by 1.04, and then rounded to the nearest cent.</t>
  </si>
  <si>
    <t>The monthly gross rates are equal to the biweekly gross rates multiplied by 26, divided by 12, and then rounded to the nearest cent.</t>
  </si>
  <si>
    <t xml:space="preserve">Assuming the non-Postal government contribution formula of 72% and 75%, the government contribution is the lesser of 75% of the plan's premium OR 72% of amounts OPM determines are the program-wide weighted average of premiums. The enrollee contribution is equal to the gross rate minus the government contribution. </t>
  </si>
  <si>
    <t>Plan and Option Name</t>
  </si>
  <si>
    <t>Plan Enrollment Code (2-digit code)</t>
  </si>
  <si>
    <t>Plan Option Code</t>
  </si>
  <si>
    <t>1, 3, 2</t>
  </si>
  <si>
    <t>4, 6, 5</t>
  </si>
  <si>
    <t>**Total Expenses should include Service Charge, Clearinghouse, ACA taxes and fees (including associated income tax), reinsurance, statutory reserve, managed care, and all other outgos other than claims negotiated with the Office of Insurance Operations</t>
  </si>
  <si>
    <t>Total Expenses</t>
  </si>
  <si>
    <r>
      <t xml:space="preserve">4.   All plans must submit their 2nd Quarter Triangle Report by </t>
    </r>
    <r>
      <rPr>
        <b/>
        <sz val="11"/>
        <rFont val="Calibri"/>
        <family val="2"/>
        <scheme val="minor"/>
      </rPr>
      <t>July 15th</t>
    </r>
    <r>
      <rPr>
        <sz val="11"/>
        <rFont val="Calibri"/>
        <family val="2"/>
        <scheme val="minor"/>
      </rPr>
      <t xml:space="preserve">. </t>
    </r>
  </si>
  <si>
    <t>Health Benefit Charges Paid During Four Month Period Ending</t>
  </si>
  <si>
    <t xml:space="preserve"> Semi-Monthly Premiums - Accrued Premium Income as of 12/31 of previous year + Accrued Premium Income as of 12/31 of current year</t>
  </si>
  <si>
    <t xml:space="preserve">The sum of Accrued Reserves and Special Reserves on the accounting statement is reallocated based on the more recent data of Question 4.  </t>
  </si>
  <si>
    <t>At the close of the contract year accounting is performed, and in the fall of the following year funds are transferred between the LOC and the CR.  The amount</t>
  </si>
  <si>
    <t>during the last year.  If the accrued plus special reserve exceeds 3.5 months, the excess is transferred to the CR.  If the accrued plus special reserve is less than 3.5</t>
  </si>
  <si>
    <t>in the accrued plus special reserve is compared to 3.5 months of paid outgo. The outgo figure is based on paid claims during the last 6 months and paid expenses</t>
  </si>
  <si>
    <t>Prior to 2018</t>
  </si>
  <si>
    <t>OPM Admin</t>
  </si>
  <si>
    <t>The calculation of interest on the CR fund and the CR balance at the end of the year is explained in Methodology of Question 15 (a).  In Question 16, claims paid</t>
  </si>
  <si>
    <t>Rating Contact's Name</t>
  </si>
  <si>
    <t>Our Health Plan High Option</t>
  </si>
  <si>
    <t>ZZ1, ZZ3, ZZ2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</si>
</sst>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
    <numFmt numFmtId="167" formatCode="0.00000"/>
    <numFmt numFmtId="168" formatCode="0.000"/>
    <numFmt numFmtId="169" formatCode="#,##0.000_);[Red]\(#,##0.000\)"/>
    <numFmt numFmtId="170" formatCode="[$-409]mmmm\ d\,\ yyyy;@"/>
    <numFmt numFmtId="171" formatCode="0.000_);\(0.000\)"/>
    <numFmt numFmtId="172" formatCode="0.0%"/>
    <numFmt numFmtId="173" formatCode="#,##0.00000_);[Red]\(#,##0.00000\)"/>
    <numFmt numFmtId="174" formatCode="0."/>
  </numFmts>
  <fonts count="60" x14ac:knownFonts="1">
    <font>
      <sz val="10"/>
      <name val="Arial"/>
    </font>
    <font>
      <sz val="11"/>
      <color theme="1"/>
      <name val="Calibri"/>
      <family val="2"/>
      <scheme val="minor"/>
    </font>
    <font>
      <sz val="10"/>
      <name val="Arial"/>
      <family val="2"/>
    </font>
    <font>
      <sz val="8"/>
      <name val="Arial"/>
      <family val="2"/>
    </font>
    <font>
      <sz val="14"/>
      <name val="Arial"/>
      <family val="2"/>
    </font>
    <font>
      <u/>
      <sz val="10"/>
      <color indexed="12"/>
      <name val="Arial"/>
      <family val="2"/>
    </font>
    <font>
      <sz val="9"/>
      <name val="Arial"/>
      <family val="2"/>
    </font>
    <font>
      <i/>
      <sz val="10"/>
      <name val="Arial"/>
      <family val="2"/>
    </font>
    <font>
      <sz val="10"/>
      <name val="Times New Roman"/>
      <family val="1"/>
    </font>
    <font>
      <b/>
      <sz val="11"/>
      <name val="Calibri"/>
      <family val="2"/>
    </font>
    <font>
      <b/>
      <i/>
      <sz val="11"/>
      <color indexed="10"/>
      <name val="Calibri"/>
      <family val="2"/>
    </font>
    <font>
      <sz val="14"/>
      <name val="Calibri"/>
      <family val="2"/>
      <scheme val="minor"/>
    </font>
    <font>
      <sz val="8"/>
      <name val="Calibri"/>
      <family val="2"/>
      <scheme val="minor"/>
    </font>
    <font>
      <b/>
      <sz val="11"/>
      <name val="Calibri"/>
      <family val="2"/>
      <scheme val="minor"/>
    </font>
    <font>
      <sz val="10"/>
      <name val="Calibri"/>
      <family val="2"/>
      <scheme val="minor"/>
    </font>
    <font>
      <sz val="11"/>
      <name val="Calibri"/>
      <family val="2"/>
      <scheme val="minor"/>
    </font>
    <font>
      <u/>
      <sz val="11"/>
      <color indexed="12"/>
      <name val="Calibri"/>
      <family val="2"/>
      <scheme val="minor"/>
    </font>
    <font>
      <sz val="11"/>
      <color indexed="10"/>
      <name val="Calibri"/>
      <family val="2"/>
      <scheme val="minor"/>
    </font>
    <font>
      <i/>
      <sz val="11"/>
      <name val="Calibri"/>
      <family val="2"/>
      <scheme val="minor"/>
    </font>
    <font>
      <b/>
      <u/>
      <sz val="11"/>
      <name val="Calibri"/>
      <family val="2"/>
      <scheme val="minor"/>
    </font>
    <font>
      <b/>
      <sz val="11"/>
      <color indexed="10"/>
      <name val="Calibri"/>
      <family val="2"/>
      <scheme val="minor"/>
    </font>
    <font>
      <u/>
      <sz val="11"/>
      <name val="Calibri"/>
      <family val="2"/>
      <scheme val="minor"/>
    </font>
    <font>
      <sz val="11"/>
      <color indexed="9"/>
      <name val="Calibri"/>
      <family val="2"/>
      <scheme val="minor"/>
    </font>
    <font>
      <i/>
      <sz val="10"/>
      <name val="Calibri"/>
      <family val="2"/>
      <scheme val="minor"/>
    </font>
    <font>
      <sz val="9"/>
      <name val="Calibri"/>
      <family val="2"/>
      <scheme val="minor"/>
    </font>
    <font>
      <b/>
      <i/>
      <sz val="9"/>
      <name val="Calibri"/>
      <family val="2"/>
      <scheme val="minor"/>
    </font>
    <font>
      <b/>
      <sz val="9"/>
      <name val="Calibri"/>
      <family val="2"/>
      <scheme val="minor"/>
    </font>
    <font>
      <b/>
      <sz val="10"/>
      <name val="Calibri"/>
      <family val="2"/>
      <scheme val="minor"/>
    </font>
    <font>
      <b/>
      <i/>
      <sz val="11"/>
      <name val="Calibri"/>
      <family val="2"/>
      <scheme val="minor"/>
    </font>
    <font>
      <sz val="16"/>
      <name val="Calibri"/>
      <family val="2"/>
      <scheme val="minor"/>
    </font>
    <font>
      <sz val="12"/>
      <name val="Calibri"/>
      <family val="2"/>
      <scheme val="minor"/>
    </font>
    <font>
      <b/>
      <sz val="16"/>
      <name val="Calibri"/>
      <family val="2"/>
      <scheme val="minor"/>
    </font>
    <font>
      <u/>
      <sz val="28"/>
      <name val="Calibri"/>
      <family val="2"/>
      <scheme val="minor"/>
    </font>
    <font>
      <sz val="11"/>
      <color theme="0"/>
      <name val="Calibri"/>
      <family val="2"/>
      <scheme val="minor"/>
    </font>
    <font>
      <sz val="8"/>
      <color theme="0"/>
      <name val="Calibri"/>
      <family val="2"/>
      <scheme val="minor"/>
    </font>
    <font>
      <sz val="11"/>
      <color rgb="FFFF0000"/>
      <name val="Calibri"/>
      <family val="2"/>
      <scheme val="minor"/>
    </font>
    <font>
      <b/>
      <sz val="8"/>
      <name val="Calibri"/>
      <family val="2"/>
      <scheme val="minor"/>
    </font>
    <font>
      <b/>
      <i/>
      <sz val="10"/>
      <color indexed="10"/>
      <name val="Calibri"/>
      <family val="2"/>
      <scheme val="minor"/>
    </font>
    <font>
      <sz val="10"/>
      <name val="Arial"/>
      <family val="2"/>
    </font>
    <font>
      <b/>
      <sz val="11"/>
      <color theme="0"/>
      <name val="Calibri"/>
      <family val="2"/>
      <scheme val="minor"/>
    </font>
    <font>
      <sz val="8"/>
      <color rgb="FFFF0000"/>
      <name val="Calibri"/>
      <family val="2"/>
      <scheme val="minor"/>
    </font>
    <font>
      <b/>
      <sz val="8"/>
      <color theme="0"/>
      <name val="Calibri"/>
      <family val="2"/>
      <scheme val="minor"/>
    </font>
    <font>
      <sz val="18"/>
      <name val="Calibri"/>
      <family val="2"/>
      <scheme val="minor"/>
    </font>
    <font>
      <b/>
      <sz val="10"/>
      <name val="Arial"/>
      <family val="2"/>
    </font>
    <font>
      <sz val="10"/>
      <color rgb="FFFF0000"/>
      <name val="Arial"/>
      <family val="2"/>
    </font>
    <font>
      <b/>
      <sz val="11"/>
      <color rgb="FF00B050"/>
      <name val="Calibri"/>
      <family val="2"/>
      <scheme val="minor"/>
    </font>
    <font>
      <sz val="11"/>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theme="1"/>
      <name val="Calibri"/>
      <family val="2"/>
      <scheme val="minor"/>
    </font>
    <font>
      <b/>
      <sz val="18"/>
      <color theme="3"/>
      <name val="Cambria"/>
      <family val="2"/>
      <scheme val="major"/>
    </font>
    <font>
      <sz val="11"/>
      <color rgb="FF9C6500"/>
      <name val="Calibri"/>
      <family val="2"/>
      <scheme val="minor"/>
    </font>
  </fonts>
  <fills count="4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gray0625">
        <fgColor indexed="26"/>
        <bgColor indexed="42"/>
      </patternFill>
    </fill>
    <fill>
      <patternFill patternType="solid">
        <fgColor rgb="FFFFFF99"/>
        <bgColor indexed="64"/>
      </patternFill>
    </fill>
    <fill>
      <patternFill patternType="solid">
        <fgColor theme="0"/>
        <bgColor indexed="64"/>
      </patternFill>
    </fill>
    <fill>
      <patternFill patternType="gray0625">
        <fgColor indexed="26"/>
        <bgColor theme="0"/>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style="thin">
        <color indexed="64"/>
      </left>
      <right/>
      <top style="thin">
        <color indexed="64"/>
      </top>
      <bottom style="double">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5" fillId="0" borderId="0" applyNumberFormat="0" applyFill="0" applyBorder="0" applyAlignment="0" applyProtection="0">
      <alignment vertical="top"/>
      <protection locked="0"/>
    </xf>
    <xf numFmtId="0" fontId="8" fillId="0" borderId="0"/>
    <xf numFmtId="9" fontId="2" fillId="0" borderId="0" applyFont="0" applyFill="0" applyBorder="0" applyAlignment="0" applyProtection="0"/>
    <xf numFmtId="44" fontId="38" fillId="0" borderId="0" applyFont="0" applyFill="0" applyBorder="0" applyAlignment="0" applyProtection="0"/>
    <xf numFmtId="0" fontId="2" fillId="0" borderId="0"/>
    <xf numFmtId="0" fontId="47" fillId="0" borderId="40" applyNumberFormat="0" applyFill="0" applyAlignment="0" applyProtection="0"/>
    <xf numFmtId="0" fontId="48" fillId="0" borderId="41" applyNumberFormat="0" applyFill="0" applyAlignment="0" applyProtection="0"/>
    <xf numFmtId="0" fontId="49" fillId="0" borderId="42" applyNumberFormat="0" applyFill="0" applyAlignment="0" applyProtection="0"/>
    <xf numFmtId="0" fontId="49" fillId="0" borderId="0" applyNumberFormat="0" applyFill="0" applyBorder="0" applyAlignment="0" applyProtection="0"/>
    <xf numFmtId="0" fontId="50" fillId="9" borderId="0" applyNumberFormat="0" applyBorder="0" applyAlignment="0" applyProtection="0"/>
    <xf numFmtId="0" fontId="51" fillId="10" borderId="0" applyNumberFormat="0" applyBorder="0" applyAlignment="0" applyProtection="0"/>
    <xf numFmtId="0" fontId="52" fillId="12" borderId="43" applyNumberFormat="0" applyAlignment="0" applyProtection="0"/>
    <xf numFmtId="0" fontId="53" fillId="13" borderId="44" applyNumberFormat="0" applyAlignment="0" applyProtection="0"/>
    <xf numFmtId="0" fontId="54" fillId="13" borderId="43" applyNumberFormat="0" applyAlignment="0" applyProtection="0"/>
    <xf numFmtId="0" fontId="55" fillId="0" borderId="45" applyNumberFormat="0" applyFill="0" applyAlignment="0" applyProtection="0"/>
    <xf numFmtId="0" fontId="39" fillId="14" borderId="46" applyNumberFormat="0" applyAlignment="0" applyProtection="0"/>
    <xf numFmtId="0" fontId="35" fillId="0" borderId="0" applyNumberFormat="0" applyFill="0" applyBorder="0" applyAlignment="0" applyProtection="0"/>
    <xf numFmtId="0" fontId="56" fillId="0" borderId="0" applyNumberFormat="0" applyFill="0" applyBorder="0" applyAlignment="0" applyProtection="0"/>
    <xf numFmtId="0" fontId="57" fillId="0" borderId="48" applyNumberFormat="0" applyFill="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xf numFmtId="0" fontId="59" fillId="11"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35" borderId="0" applyNumberFormat="0" applyBorder="0" applyAlignment="0" applyProtection="0"/>
    <xf numFmtId="0" fontId="33" fillId="39" borderId="0" applyNumberFormat="0" applyBorder="0" applyAlignment="0" applyProtection="0"/>
    <xf numFmtId="0" fontId="2" fillId="0" borderId="0"/>
    <xf numFmtId="44" fontId="2" fillId="0" borderId="0" applyFont="0" applyFill="0" applyBorder="0" applyAlignment="0" applyProtection="0"/>
    <xf numFmtId="0" fontId="1" fillId="0" borderId="0"/>
    <xf numFmtId="0" fontId="1" fillId="15" borderId="47" applyNumberFormat="0" applyFont="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514">
    <xf numFmtId="0" fontId="0" fillId="0" borderId="0" xfId="0"/>
    <xf numFmtId="0" fontId="0" fillId="2" borderId="0" xfId="0" applyFill="1"/>
    <xf numFmtId="0" fontId="6" fillId="2" borderId="0" xfId="0" applyFont="1" applyFill="1" applyBorder="1"/>
    <xf numFmtId="0" fontId="0" fillId="2" borderId="0" xfId="0" applyFill="1" applyBorder="1"/>
    <xf numFmtId="0" fontId="12" fillId="2" borderId="0" xfId="0" applyFont="1" applyFill="1" applyProtection="1"/>
    <xf numFmtId="0" fontId="13" fillId="3" borderId="6" xfId="0" applyFont="1" applyFill="1" applyBorder="1" applyAlignment="1" applyProtection="1">
      <alignment horizontal="center"/>
    </xf>
    <xf numFmtId="0" fontId="14" fillId="2" borderId="0" xfId="0" applyFont="1" applyFill="1"/>
    <xf numFmtId="0" fontId="15" fillId="2" borderId="0" xfId="0" applyFont="1" applyFill="1" applyProtection="1"/>
    <xf numFmtId="0" fontId="15" fillId="2" borderId="0" xfId="0" applyFont="1" applyFill="1" applyAlignment="1" applyProtection="1">
      <alignment horizontal="right"/>
    </xf>
    <xf numFmtId="0" fontId="13" fillId="2" borderId="0" xfId="0" applyFont="1" applyFill="1" applyProtection="1"/>
    <xf numFmtId="0" fontId="13" fillId="2" borderId="1" xfId="0" applyFont="1" applyFill="1" applyBorder="1" applyAlignment="1" applyProtection="1"/>
    <xf numFmtId="0" fontId="15" fillId="2" borderId="2" xfId="0" applyFont="1" applyFill="1" applyBorder="1" applyProtection="1"/>
    <xf numFmtId="0" fontId="15" fillId="2" borderId="0" xfId="0" applyFont="1" applyFill="1" applyBorder="1" applyProtection="1"/>
    <xf numFmtId="6" fontId="15" fillId="3" borderId="6" xfId="0" applyNumberFormat="1" applyFont="1" applyFill="1" applyBorder="1" applyAlignment="1" applyProtection="1"/>
    <xf numFmtId="0" fontId="15" fillId="2" borderId="0" xfId="0" applyFont="1" applyFill="1" applyBorder="1" applyAlignment="1" applyProtection="1"/>
    <xf numFmtId="6" fontId="15" fillId="3" borderId="6" xfId="0" applyNumberFormat="1" applyFont="1" applyFill="1" applyBorder="1" applyProtection="1"/>
    <xf numFmtId="0" fontId="13" fillId="2" borderId="0" xfId="0" applyFont="1" applyFill="1" applyAlignment="1" applyProtection="1">
      <alignment horizontal="center"/>
    </xf>
    <xf numFmtId="0" fontId="13" fillId="2" borderId="4" xfId="0" applyFont="1" applyFill="1" applyBorder="1" applyAlignment="1" applyProtection="1">
      <alignment horizontal="center"/>
    </xf>
    <xf numFmtId="164" fontId="15" fillId="3" borderId="6" xfId="0" applyNumberFormat="1" applyFont="1" applyFill="1" applyBorder="1" applyAlignment="1" applyProtection="1">
      <alignment horizontal="left"/>
    </xf>
    <xf numFmtId="3" fontId="15" fillId="3" borderId="6" xfId="0" applyNumberFormat="1" applyFont="1" applyFill="1" applyBorder="1" applyAlignment="1" applyProtection="1">
      <alignment horizontal="left"/>
    </xf>
    <xf numFmtId="0" fontId="15" fillId="2" borderId="0" xfId="0" applyFont="1" applyFill="1" applyAlignment="1" applyProtection="1">
      <alignment horizontal="center"/>
    </xf>
    <xf numFmtId="165" fontId="15" fillId="2" borderId="0" xfId="0" applyNumberFormat="1" applyFont="1" applyFill="1" applyProtection="1"/>
    <xf numFmtId="165" fontId="15" fillId="2" borderId="5" xfId="0" applyNumberFormat="1" applyFont="1" applyFill="1" applyBorder="1" applyProtection="1"/>
    <xf numFmtId="0" fontId="15" fillId="2" borderId="5" xfId="0" applyFont="1" applyFill="1" applyBorder="1" applyProtection="1"/>
    <xf numFmtId="3" fontId="13" fillId="2" borderId="0" xfId="0" applyNumberFormat="1" applyFont="1" applyFill="1" applyProtection="1"/>
    <xf numFmtId="165" fontId="13" fillId="2" borderId="0" xfId="0" applyNumberFormat="1" applyFont="1" applyFill="1" applyProtection="1"/>
    <xf numFmtId="6" fontId="13" fillId="2" borderId="0" xfId="0" applyNumberFormat="1" applyFont="1" applyFill="1" applyProtection="1"/>
    <xf numFmtId="3" fontId="15" fillId="2" borderId="0" xfId="0" applyNumberFormat="1" applyFont="1" applyFill="1" applyProtection="1"/>
    <xf numFmtId="3" fontId="15" fillId="2" borderId="5" xfId="0" applyNumberFormat="1" applyFont="1" applyFill="1" applyBorder="1" applyProtection="1"/>
    <xf numFmtId="0" fontId="15" fillId="0" borderId="0" xfId="0" applyFont="1" applyFill="1" applyProtection="1"/>
    <xf numFmtId="0" fontId="17" fillId="2" borderId="0" xfId="0" applyFont="1" applyFill="1" applyProtection="1"/>
    <xf numFmtId="166" fontId="15" fillId="2" borderId="0" xfId="0" applyNumberFormat="1" applyFont="1" applyFill="1" applyBorder="1" applyProtection="1"/>
    <xf numFmtId="0" fontId="13" fillId="2" borderId="0" xfId="0" applyFont="1" applyFill="1"/>
    <xf numFmtId="0" fontId="13" fillId="2" borderId="6" xfId="0" applyFont="1" applyFill="1" applyBorder="1" applyAlignment="1" applyProtection="1">
      <alignment horizontal="center"/>
    </xf>
    <xf numFmtId="167" fontId="15" fillId="2" borderId="0" xfId="0" applyNumberFormat="1" applyFont="1" applyFill="1" applyBorder="1" applyProtection="1"/>
    <xf numFmtId="167" fontId="15" fillId="3" borderId="6" xfId="0" applyNumberFormat="1" applyFont="1" applyFill="1" applyBorder="1" applyProtection="1"/>
    <xf numFmtId="0" fontId="18" fillId="2" borderId="0" xfId="0" applyFont="1" applyFill="1" applyProtection="1"/>
    <xf numFmtId="167" fontId="13" fillId="2" borderId="0" xfId="0" applyNumberFormat="1" applyFont="1" applyFill="1" applyBorder="1" applyProtection="1"/>
    <xf numFmtId="0" fontId="21" fillId="2" borderId="0" xfId="0" applyFont="1" applyFill="1" applyAlignment="1" applyProtection="1">
      <alignment horizontal="center"/>
    </xf>
    <xf numFmtId="8" fontId="15" fillId="3" borderId="6" xfId="0" applyNumberFormat="1" applyFont="1" applyFill="1" applyBorder="1" applyProtection="1"/>
    <xf numFmtId="0" fontId="15" fillId="3" borderId="6" xfId="0" applyFont="1" applyFill="1" applyBorder="1" applyAlignment="1" applyProtection="1">
      <alignment horizontal="center"/>
    </xf>
    <xf numFmtId="167" fontId="15" fillId="2" borderId="0" xfId="0" applyNumberFormat="1" applyFont="1" applyFill="1" applyBorder="1" applyAlignment="1" applyProtection="1">
      <alignment horizontal="center"/>
    </xf>
    <xf numFmtId="167" fontId="15" fillId="3" borderId="6" xfId="0" applyNumberFormat="1" applyFont="1" applyFill="1" applyBorder="1" applyAlignment="1" applyProtection="1">
      <alignment horizontal="center"/>
    </xf>
    <xf numFmtId="0" fontId="15" fillId="3" borderId="7" xfId="0" applyFont="1" applyFill="1" applyBorder="1" applyProtection="1"/>
    <xf numFmtId="0" fontId="17" fillId="5" borderId="8" xfId="0" applyFont="1" applyFill="1" applyBorder="1" applyProtection="1"/>
    <xf numFmtId="0" fontId="17" fillId="5" borderId="9" xfId="0" applyFont="1" applyFill="1" applyBorder="1" applyProtection="1"/>
    <xf numFmtId="0" fontId="17" fillId="5" borderId="10" xfId="0" applyFont="1" applyFill="1" applyBorder="1" applyProtection="1"/>
    <xf numFmtId="0" fontId="17" fillId="5" borderId="11" xfId="0" applyFont="1" applyFill="1" applyBorder="1" applyProtection="1"/>
    <xf numFmtId="6" fontId="15" fillId="2" borderId="0" xfId="0" applyNumberFormat="1" applyFont="1" applyFill="1" applyBorder="1" applyProtection="1"/>
    <xf numFmtId="0" fontId="17" fillId="5" borderId="12" xfId="0" applyFont="1" applyFill="1" applyBorder="1" applyProtection="1"/>
    <xf numFmtId="0" fontId="17" fillId="5" borderId="13" xfId="0" applyFont="1" applyFill="1" applyBorder="1" applyProtection="1"/>
    <xf numFmtId="165" fontId="15" fillId="3" borderId="6" xfId="0" applyNumberFormat="1" applyFont="1" applyFill="1" applyBorder="1" applyProtection="1"/>
    <xf numFmtId="0" fontId="15" fillId="3" borderId="6" xfId="0" applyFont="1" applyFill="1" applyBorder="1" applyProtection="1"/>
    <xf numFmtId="0" fontId="13" fillId="0" borderId="0" xfId="0" applyFont="1" applyFill="1" applyProtection="1"/>
    <xf numFmtId="0" fontId="15" fillId="2" borderId="0" xfId="0" applyFont="1" applyFill="1"/>
    <xf numFmtId="6" fontId="15" fillId="2" borderId="0" xfId="0" applyNumberFormat="1" applyFont="1" applyFill="1"/>
    <xf numFmtId="165" fontId="15" fillId="2" borderId="0" xfId="0" applyNumberFormat="1" applyFont="1" applyFill="1"/>
    <xf numFmtId="8" fontId="15" fillId="2" borderId="0" xfId="0" applyNumberFormat="1" applyFont="1" applyFill="1"/>
    <xf numFmtId="0" fontId="13" fillId="2" borderId="6" xfId="0" applyFont="1" applyFill="1" applyBorder="1" applyAlignment="1">
      <alignment horizontal="right"/>
    </xf>
    <xf numFmtId="0" fontId="24" fillId="2" borderId="0" xfId="0" applyFont="1" applyFill="1" applyBorder="1"/>
    <xf numFmtId="0" fontId="24" fillId="2" borderId="0" xfId="0" applyFont="1" applyFill="1"/>
    <xf numFmtId="0" fontId="15" fillId="2" borderId="15" xfId="0" applyFont="1" applyFill="1" applyBorder="1"/>
    <xf numFmtId="0" fontId="15" fillId="2" borderId="16" xfId="0" applyFont="1" applyFill="1" applyBorder="1"/>
    <xf numFmtId="0" fontId="15" fillId="2" borderId="17" xfId="0" applyFont="1" applyFill="1" applyBorder="1"/>
    <xf numFmtId="0" fontId="15" fillId="2" borderId="10" xfId="0" applyFont="1" applyFill="1" applyBorder="1"/>
    <xf numFmtId="0" fontId="15" fillId="2" borderId="0" xfId="0" applyFont="1" applyFill="1" applyBorder="1"/>
    <xf numFmtId="0" fontId="15" fillId="2" borderId="11" xfId="0" applyFont="1" applyFill="1" applyBorder="1"/>
    <xf numFmtId="0" fontId="15" fillId="2" borderId="18" xfId="0" applyFont="1" applyFill="1" applyBorder="1"/>
    <xf numFmtId="6" fontId="15" fillId="2" borderId="18" xfId="0" applyNumberFormat="1" applyFont="1" applyFill="1" applyBorder="1"/>
    <xf numFmtId="169" fontId="15" fillId="2" borderId="18" xfId="0" applyNumberFormat="1" applyFont="1" applyFill="1" applyBorder="1"/>
    <xf numFmtId="0" fontId="15" fillId="2" borderId="12" xfId="0" applyFont="1" applyFill="1" applyBorder="1"/>
    <xf numFmtId="0" fontId="15" fillId="2" borderId="5" xfId="0" applyFont="1" applyFill="1" applyBorder="1"/>
    <xf numFmtId="0" fontId="15" fillId="2" borderId="13" xfId="0" applyFont="1" applyFill="1" applyBorder="1"/>
    <xf numFmtId="0" fontId="27" fillId="2" borderId="0" xfId="0" applyFont="1" applyFill="1"/>
    <xf numFmtId="0" fontId="26" fillId="2" borderId="0" xfId="0" applyFont="1" applyFill="1"/>
    <xf numFmtId="0" fontId="18" fillId="2" borderId="0" xfId="0" applyFont="1" applyFill="1"/>
    <xf numFmtId="10" fontId="15" fillId="2" borderId="0" xfId="0" applyNumberFormat="1" applyFont="1" applyFill="1"/>
    <xf numFmtId="0" fontId="13" fillId="2" borderId="1" xfId="0" applyFont="1" applyFill="1" applyBorder="1" applyAlignment="1"/>
    <xf numFmtId="0" fontId="13" fillId="2" borderId="0" xfId="0" applyFont="1" applyFill="1" applyAlignment="1"/>
    <xf numFmtId="0" fontId="15" fillId="2" borderId="2" xfId="0" applyFont="1" applyFill="1" applyBorder="1"/>
    <xf numFmtId="6" fontId="15" fillId="3" borderId="6" xfId="0" applyNumberFormat="1" applyFont="1" applyFill="1" applyBorder="1" applyAlignment="1" applyProtection="1">
      <protection locked="0"/>
    </xf>
    <xf numFmtId="0" fontId="15" fillId="2" borderId="0" xfId="0" applyFont="1" applyFill="1" applyBorder="1" applyAlignment="1"/>
    <xf numFmtId="6" fontId="15" fillId="3" borderId="6" xfId="0" applyNumberFormat="1" applyFont="1" applyFill="1" applyBorder="1" applyProtection="1">
      <protection locked="0"/>
    </xf>
    <xf numFmtId="0" fontId="13" fillId="2" borderId="0" xfId="0" applyFont="1" applyFill="1" applyAlignment="1">
      <alignment horizontal="center"/>
    </xf>
    <xf numFmtId="0" fontId="13" fillId="2" borderId="0" xfId="0" applyFont="1" applyFill="1" applyBorder="1" applyAlignment="1">
      <alignment horizontal="center"/>
    </xf>
    <xf numFmtId="0" fontId="13" fillId="2" borderId="4" xfId="0" applyFont="1" applyFill="1" applyBorder="1" applyAlignment="1">
      <alignment horizontal="center"/>
    </xf>
    <xf numFmtId="0" fontId="13" fillId="2" borderId="3" xfId="0" applyFont="1" applyFill="1" applyBorder="1" applyAlignment="1">
      <alignment horizontal="center"/>
    </xf>
    <xf numFmtId="0" fontId="13" fillId="2" borderId="0" xfId="0" applyFont="1" applyFill="1" applyBorder="1"/>
    <xf numFmtId="164" fontId="15" fillId="3" borderId="6" xfId="0" applyNumberFormat="1" applyFont="1" applyFill="1" applyBorder="1" applyAlignment="1" applyProtection="1">
      <alignment horizontal="left"/>
      <protection locked="0"/>
    </xf>
    <xf numFmtId="3" fontId="15" fillId="3" borderId="6" xfId="0" applyNumberFormat="1" applyFont="1" applyFill="1" applyBorder="1" applyAlignment="1" applyProtection="1">
      <alignment horizontal="left"/>
      <protection locked="0"/>
    </xf>
    <xf numFmtId="0" fontId="15" fillId="2" borderId="0" xfId="0" applyFont="1" applyFill="1" applyAlignment="1">
      <alignment horizontal="center"/>
    </xf>
    <xf numFmtId="1" fontId="15" fillId="2" borderId="0" xfId="0" applyNumberFormat="1" applyFont="1" applyFill="1"/>
    <xf numFmtId="165" fontId="15" fillId="2" borderId="5" xfId="0" applyNumberFormat="1" applyFont="1" applyFill="1" applyBorder="1"/>
    <xf numFmtId="1" fontId="15" fillId="2" borderId="5" xfId="0" applyNumberFormat="1" applyFont="1" applyFill="1" applyBorder="1"/>
    <xf numFmtId="3" fontId="13" fillId="2" borderId="0" xfId="0" applyNumberFormat="1" applyFont="1" applyFill="1"/>
    <xf numFmtId="165" fontId="13" fillId="2" borderId="0" xfId="0" applyNumberFormat="1" applyFont="1" applyFill="1"/>
    <xf numFmtId="6" fontId="13" fillId="2" borderId="0" xfId="0" applyNumberFormat="1" applyFont="1" applyFill="1"/>
    <xf numFmtId="3" fontId="15" fillId="2" borderId="0" xfId="0" applyNumberFormat="1" applyFont="1" applyFill="1"/>
    <xf numFmtId="10" fontId="15" fillId="2" borderId="0" xfId="3" applyNumberFormat="1" applyFont="1" applyFill="1" applyBorder="1" applyAlignment="1">
      <alignment horizontal="center"/>
    </xf>
    <xf numFmtId="3" fontId="15" fillId="2" borderId="5" xfId="0" applyNumberFormat="1" applyFont="1" applyFill="1" applyBorder="1"/>
    <xf numFmtId="0" fontId="15" fillId="2" borderId="0" xfId="0" applyFont="1" applyFill="1" applyBorder="1" applyAlignment="1">
      <alignment horizontal="center"/>
    </xf>
    <xf numFmtId="0" fontId="13" fillId="2" borderId="0" xfId="0" applyFont="1" applyFill="1" applyAlignment="1">
      <alignment horizontal="right"/>
    </xf>
    <xf numFmtId="0" fontId="15" fillId="0" borderId="0" xfId="0" applyFont="1" applyFill="1"/>
    <xf numFmtId="166" fontId="15" fillId="2" borderId="0" xfId="0" applyNumberFormat="1" applyFont="1" applyFill="1" applyBorder="1"/>
    <xf numFmtId="0" fontId="13" fillId="3" borderId="6" xfId="0" applyFont="1" applyFill="1" applyBorder="1" applyAlignment="1" applyProtection="1">
      <alignment horizontal="center"/>
      <protection locked="0"/>
    </xf>
    <xf numFmtId="0" fontId="13" fillId="2" borderId="6" xfId="0" applyFont="1" applyFill="1" applyBorder="1" applyAlignment="1" applyProtection="1">
      <alignment horizontal="center"/>
      <protection locked="0"/>
    </xf>
    <xf numFmtId="167" fontId="15" fillId="2" borderId="0" xfId="0" applyNumberFormat="1" applyFont="1" applyFill="1" applyBorder="1"/>
    <xf numFmtId="167" fontId="15" fillId="3" borderId="6" xfId="0" applyNumberFormat="1" applyFont="1" applyFill="1" applyBorder="1" applyProtection="1">
      <protection locked="0"/>
    </xf>
    <xf numFmtId="167" fontId="13" fillId="2" borderId="0" xfId="0" applyNumberFormat="1" applyFont="1" applyFill="1" applyBorder="1"/>
    <xf numFmtId="0" fontId="21" fillId="2" borderId="0" xfId="0" applyFont="1" applyFill="1" applyAlignment="1">
      <alignment horizontal="center"/>
    </xf>
    <xf numFmtId="8" fontId="15" fillId="3" borderId="6" xfId="0" applyNumberFormat="1" applyFont="1" applyFill="1" applyBorder="1" applyProtection="1">
      <protection locked="0"/>
    </xf>
    <xf numFmtId="0" fontId="15" fillId="2" borderId="0" xfId="0" applyFont="1" applyFill="1" applyAlignment="1">
      <alignment horizontal="right"/>
    </xf>
    <xf numFmtId="0" fontId="15" fillId="3" borderId="6" xfId="0" applyFont="1" applyFill="1" applyBorder="1" applyAlignment="1" applyProtection="1">
      <alignment horizontal="center"/>
      <protection locked="0"/>
    </xf>
    <xf numFmtId="167" fontId="15" fillId="2" borderId="0" xfId="0" applyNumberFormat="1" applyFont="1" applyFill="1" applyBorder="1" applyAlignment="1">
      <alignment horizontal="center"/>
    </xf>
    <xf numFmtId="167" fontId="15" fillId="3" borderId="6" xfId="0" applyNumberFormat="1" applyFont="1" applyFill="1" applyBorder="1" applyAlignment="1" applyProtection="1">
      <alignment horizontal="center"/>
      <protection locked="0"/>
    </xf>
    <xf numFmtId="0" fontId="19" fillId="2" borderId="0" xfId="0" applyFont="1" applyFill="1" applyAlignment="1">
      <alignment horizontal="center"/>
    </xf>
    <xf numFmtId="0" fontId="17" fillId="2" borderId="0" xfId="0" applyFont="1" applyFill="1"/>
    <xf numFmtId="0" fontId="15" fillId="3" borderId="7" xfId="0" applyFont="1" applyFill="1" applyBorder="1" applyProtection="1">
      <protection locked="0"/>
    </xf>
    <xf numFmtId="6" fontId="15" fillId="2" borderId="0" xfId="0" applyNumberFormat="1" applyFont="1" applyFill="1" applyBorder="1"/>
    <xf numFmtId="165" fontId="15" fillId="3" borderId="6" xfId="0" applyNumberFormat="1" applyFont="1" applyFill="1" applyBorder="1" applyProtection="1">
      <protection locked="0"/>
    </xf>
    <xf numFmtId="0" fontId="15" fillId="3" borderId="6" xfId="0" applyFont="1" applyFill="1" applyBorder="1" applyProtection="1">
      <protection locked="0"/>
    </xf>
    <xf numFmtId="0" fontId="28" fillId="2" borderId="0" xfId="0" applyFont="1" applyFill="1"/>
    <xf numFmtId="6" fontId="15" fillId="2" borderId="18" xfId="0" applyNumberFormat="1" applyFont="1" applyFill="1" applyBorder="1" applyAlignment="1">
      <alignment horizontal="right"/>
    </xf>
    <xf numFmtId="0" fontId="15" fillId="2" borderId="18" xfId="0" applyFont="1" applyFill="1" applyBorder="1" applyAlignment="1">
      <alignment horizontal="right"/>
    </xf>
    <xf numFmtId="169" fontId="15" fillId="2" borderId="18" xfId="0" applyNumberFormat="1" applyFont="1" applyFill="1" applyBorder="1" applyAlignment="1">
      <alignment horizontal="right"/>
    </xf>
    <xf numFmtId="0" fontId="11" fillId="2" borderId="0" xfId="0" applyFont="1" applyFill="1" applyAlignment="1"/>
    <xf numFmtId="0" fontId="14" fillId="2" borderId="0" xfId="0" applyFont="1" applyFill="1" applyBorder="1"/>
    <xf numFmtId="0" fontId="15" fillId="2" borderId="0" xfId="0" applyFont="1" applyFill="1" applyAlignment="1"/>
    <xf numFmtId="0" fontId="18" fillId="2" borderId="0" xfId="0" applyFont="1" applyFill="1" applyAlignment="1"/>
    <xf numFmtId="0" fontId="13" fillId="2" borderId="16" xfId="0" applyFont="1" applyFill="1" applyBorder="1" applyAlignment="1">
      <alignment horizontal="right"/>
    </xf>
    <xf numFmtId="0" fontId="13" fillId="2" borderId="17" xfId="0" applyFont="1" applyFill="1" applyBorder="1" applyAlignment="1">
      <alignment horizontal="right"/>
    </xf>
    <xf numFmtId="164" fontId="15" fillId="2" borderId="0" xfId="0" applyNumberFormat="1" applyFont="1" applyFill="1" applyBorder="1" applyAlignment="1">
      <alignment horizontal="right"/>
    </xf>
    <xf numFmtId="164" fontId="15" fillId="2" borderId="11" xfId="0" applyNumberFormat="1" applyFont="1" applyFill="1" applyBorder="1" applyAlignment="1">
      <alignment horizontal="right"/>
    </xf>
    <xf numFmtId="0" fontId="15" fillId="2" borderId="0" xfId="0" applyFont="1" applyFill="1" applyBorder="1" applyAlignment="1">
      <alignment horizontal="right"/>
    </xf>
    <xf numFmtId="0" fontId="15" fillId="2" borderId="11" xfId="0" applyFont="1" applyFill="1" applyBorder="1" applyAlignment="1">
      <alignment horizontal="right"/>
    </xf>
    <xf numFmtId="166" fontId="15" fillId="2" borderId="0" xfId="0" applyNumberFormat="1" applyFont="1" applyFill="1" applyBorder="1" applyAlignment="1">
      <alignment horizontal="right"/>
    </xf>
    <xf numFmtId="166" fontId="15" fillId="2" borderId="11" xfId="0" applyNumberFormat="1" applyFont="1" applyFill="1" applyBorder="1" applyAlignment="1">
      <alignment horizontal="right"/>
    </xf>
    <xf numFmtId="6" fontId="15" fillId="2" borderId="0" xfId="0" applyNumberFormat="1" applyFont="1" applyFill="1" applyBorder="1" applyAlignment="1" applyProtection="1"/>
    <xf numFmtId="164" fontId="15" fillId="2" borderId="0" xfId="0" applyNumberFormat="1" applyFont="1" applyFill="1" applyBorder="1" applyAlignment="1" applyProtection="1">
      <alignment horizontal="left"/>
    </xf>
    <xf numFmtId="3" fontId="15" fillId="2" borderId="0" xfId="0" applyNumberFormat="1" applyFont="1" applyFill="1" applyBorder="1" applyAlignment="1" applyProtection="1">
      <alignment horizontal="left"/>
    </xf>
    <xf numFmtId="167" fontId="22" fillId="2" borderId="0" xfId="0" applyNumberFormat="1" applyFont="1" applyFill="1" applyBorder="1" applyProtection="1"/>
    <xf numFmtId="8" fontId="15" fillId="2" borderId="0" xfId="0" applyNumberFormat="1" applyFont="1" applyFill="1" applyBorder="1" applyProtection="1"/>
    <xf numFmtId="0" fontId="13" fillId="2" borderId="0" xfId="0" applyFont="1" applyFill="1" applyAlignment="1">
      <alignment horizontal="left"/>
    </xf>
    <xf numFmtId="0" fontId="15" fillId="2" borderId="0" xfId="0" quotePrefix="1" applyFont="1" applyFill="1" applyAlignment="1">
      <alignment horizontal="center"/>
    </xf>
    <xf numFmtId="3" fontId="15" fillId="3" borderId="6" xfId="0" applyNumberFormat="1" applyFont="1" applyFill="1" applyBorder="1" applyAlignment="1" applyProtection="1">
      <alignment horizontal="center"/>
      <protection locked="0"/>
    </xf>
    <xf numFmtId="5" fontId="15" fillId="2" borderId="3" xfId="0" applyNumberFormat="1" applyFont="1" applyFill="1" applyBorder="1"/>
    <xf numFmtId="5" fontId="15" fillId="2" borderId="0" xfId="0" applyNumberFormat="1" applyFont="1" applyFill="1" applyBorder="1"/>
    <xf numFmtId="0" fontId="15" fillId="2" borderId="0" xfId="0" quotePrefix="1" applyFont="1" applyFill="1" applyAlignment="1" applyProtection="1">
      <alignment horizontal="center"/>
    </xf>
    <xf numFmtId="5" fontId="15" fillId="2" borderId="4" xfId="0" applyNumberFormat="1" applyFont="1" applyFill="1" applyBorder="1"/>
    <xf numFmtId="3" fontId="15" fillId="2" borderId="3" xfId="0" applyNumberFormat="1" applyFont="1" applyFill="1" applyBorder="1" applyAlignment="1">
      <alignment horizontal="center"/>
    </xf>
    <xf numFmtId="5" fontId="15" fillId="3" borderId="6" xfId="0" applyNumberFormat="1" applyFont="1" applyFill="1" applyBorder="1" applyProtection="1">
      <protection locked="0"/>
    </xf>
    <xf numFmtId="10" fontId="15" fillId="2" borderId="3" xfId="0" applyNumberFormat="1" applyFont="1" applyFill="1" applyBorder="1"/>
    <xf numFmtId="171" fontId="15" fillId="3" borderId="6" xfId="0" applyNumberFormat="1" applyFont="1" applyFill="1" applyBorder="1" applyProtection="1">
      <protection locked="0"/>
    </xf>
    <xf numFmtId="0" fontId="13" fillId="2" borderId="14" xfId="0" applyFont="1" applyFill="1" applyBorder="1" applyAlignment="1">
      <alignment horizontal="center"/>
    </xf>
    <xf numFmtId="0" fontId="15" fillId="2" borderId="14" xfId="0" applyFont="1" applyFill="1" applyBorder="1"/>
    <xf numFmtId="0" fontId="15" fillId="2" borderId="20" xfId="0" applyFont="1" applyFill="1" applyBorder="1"/>
    <xf numFmtId="5" fontId="15" fillId="2" borderId="14" xfId="0" applyNumberFormat="1" applyFont="1" applyFill="1" applyBorder="1"/>
    <xf numFmtId="171" fontId="15" fillId="2" borderId="14" xfId="0" applyNumberFormat="1" applyFont="1" applyFill="1" applyBorder="1"/>
    <xf numFmtId="171" fontId="15" fillId="2" borderId="21" xfId="0" applyNumberFormat="1" applyFont="1" applyFill="1" applyBorder="1"/>
    <xf numFmtId="171" fontId="15" fillId="0" borderId="14" xfId="0" applyNumberFormat="1" applyFont="1" applyFill="1" applyBorder="1" applyProtection="1"/>
    <xf numFmtId="171" fontId="15" fillId="2" borderId="22" xfId="0" applyNumberFormat="1" applyFont="1" applyFill="1" applyBorder="1"/>
    <xf numFmtId="39" fontId="15" fillId="2" borderId="0" xfId="0" applyNumberFormat="1" applyFont="1" applyFill="1" applyBorder="1"/>
    <xf numFmtId="165" fontId="15" fillId="2" borderId="3" xfId="0" applyNumberFormat="1" applyFont="1" applyFill="1" applyBorder="1"/>
    <xf numFmtId="165" fontId="15" fillId="2" borderId="0" xfId="0" applyNumberFormat="1" applyFont="1" applyFill="1" applyBorder="1"/>
    <xf numFmtId="0" fontId="15" fillId="0" borderId="0" xfId="0" applyFont="1"/>
    <xf numFmtId="0" fontId="14" fillId="2" borderId="0" xfId="2" applyFont="1" applyFill="1"/>
    <xf numFmtId="10" fontId="14" fillId="2" borderId="0" xfId="2" applyNumberFormat="1" applyFont="1" applyFill="1"/>
    <xf numFmtId="0" fontId="15" fillId="2" borderId="0" xfId="2" applyFont="1" applyFill="1"/>
    <xf numFmtId="0" fontId="15" fillId="2" borderId="0" xfId="2" quotePrefix="1" applyFont="1" applyFill="1"/>
    <xf numFmtId="0" fontId="15" fillId="2" borderId="0" xfId="2" applyFont="1" applyFill="1" applyBorder="1" applyAlignment="1" applyProtection="1">
      <alignment horizontal="center"/>
    </xf>
    <xf numFmtId="0" fontId="15" fillId="2" borderId="0" xfId="2" quotePrefix="1" applyFont="1" applyFill="1" applyAlignment="1">
      <alignment horizontal="center"/>
    </xf>
    <xf numFmtId="3" fontId="15" fillId="3" borderId="6" xfId="2" applyNumberFormat="1" applyFont="1" applyFill="1" applyBorder="1" applyAlignment="1" applyProtection="1">
      <alignment horizontal="center"/>
      <protection locked="0"/>
    </xf>
    <xf numFmtId="6" fontId="15" fillId="2" borderId="3" xfId="2" applyNumberFormat="1" applyFont="1" applyFill="1" applyBorder="1"/>
    <xf numFmtId="6" fontId="15" fillId="2" borderId="4" xfId="2" applyNumberFormat="1" applyFont="1" applyFill="1" applyBorder="1"/>
    <xf numFmtId="3" fontId="15" fillId="2" borderId="3" xfId="2" applyNumberFormat="1" applyFont="1" applyFill="1" applyBorder="1" applyAlignment="1">
      <alignment horizontal="center"/>
    </xf>
    <xf numFmtId="6" fontId="15" fillId="3" borderId="6" xfId="2" applyNumberFormat="1" applyFont="1" applyFill="1" applyBorder="1" applyProtection="1">
      <protection locked="0"/>
    </xf>
    <xf numFmtId="0" fontId="15" fillId="2" borderId="0" xfId="2" applyFont="1" applyFill="1" applyAlignment="1">
      <alignment horizontal="left"/>
    </xf>
    <xf numFmtId="0" fontId="15" fillId="2" borderId="0" xfId="2" quotePrefix="1" applyFont="1" applyFill="1" applyAlignment="1">
      <alignment horizontal="left"/>
    </xf>
    <xf numFmtId="3" fontId="15" fillId="3" borderId="6" xfId="2" applyNumberFormat="1" applyFont="1" applyFill="1" applyBorder="1" applyProtection="1">
      <protection locked="0"/>
    </xf>
    <xf numFmtId="165" fontId="15" fillId="3" borderId="6" xfId="2" applyNumberFormat="1" applyFont="1" applyFill="1" applyBorder="1" applyProtection="1">
      <protection locked="0"/>
    </xf>
    <xf numFmtId="165" fontId="15" fillId="2" borderId="3" xfId="2" applyNumberFormat="1" applyFont="1" applyFill="1" applyBorder="1"/>
    <xf numFmtId="165" fontId="15" fillId="2" borderId="0" xfId="2" applyNumberFormat="1" applyFont="1" applyFill="1"/>
    <xf numFmtId="165" fontId="15" fillId="2" borderId="4" xfId="2" applyNumberFormat="1" applyFont="1" applyFill="1" applyBorder="1"/>
    <xf numFmtId="165" fontId="15" fillId="2" borderId="29" xfId="2" applyNumberFormat="1" applyFont="1" applyFill="1" applyBorder="1"/>
    <xf numFmtId="0" fontId="27" fillId="2" borderId="0" xfId="0" applyFont="1" applyFill="1" applyAlignment="1"/>
    <xf numFmtId="0" fontId="15" fillId="2" borderId="6" xfId="0" applyFont="1" applyFill="1" applyBorder="1"/>
    <xf numFmtId="0" fontId="13" fillId="2" borderId="6" xfId="0" applyFont="1" applyFill="1" applyBorder="1" applyAlignment="1">
      <alignment horizontal="center" wrapText="1"/>
    </xf>
    <xf numFmtId="0" fontId="13" fillId="2" borderId="16" xfId="0" applyFont="1" applyFill="1" applyBorder="1" applyAlignment="1">
      <alignment horizontal="center" wrapText="1"/>
    </xf>
    <xf numFmtId="0" fontId="13" fillId="2" borderId="6" xfId="0" applyFont="1" applyFill="1" applyBorder="1" applyAlignment="1">
      <alignment horizontal="center"/>
    </xf>
    <xf numFmtId="0" fontId="13" fillId="2" borderId="17" xfId="0" applyFont="1" applyFill="1" applyBorder="1" applyAlignment="1">
      <alignment horizontal="center" wrapText="1"/>
    </xf>
    <xf numFmtId="0" fontId="13" fillId="2" borderId="24" xfId="0" applyFont="1" applyFill="1" applyBorder="1" applyAlignment="1">
      <alignment horizontal="center"/>
    </xf>
    <xf numFmtId="8" fontId="15" fillId="2" borderId="25" xfId="0" applyNumberFormat="1" applyFont="1" applyFill="1" applyBorder="1" applyProtection="1">
      <protection locked="0"/>
    </xf>
    <xf numFmtId="0" fontId="13" fillId="2" borderId="23" xfId="0" applyFont="1" applyFill="1" applyBorder="1" applyAlignment="1">
      <alignment horizontal="center"/>
    </xf>
    <xf numFmtId="0" fontId="13" fillId="2" borderId="5" xfId="0" applyFont="1" applyFill="1" applyBorder="1"/>
    <xf numFmtId="0" fontId="27" fillId="2" borderId="0" xfId="0" applyFont="1" applyFill="1" applyBorder="1" applyAlignment="1"/>
    <xf numFmtId="0" fontId="30" fillId="2" borderId="0" xfId="0" applyFont="1" applyFill="1" applyBorder="1" applyAlignment="1"/>
    <xf numFmtId="0" fontId="20" fillId="2" borderId="0" xfId="0" applyFont="1" applyFill="1"/>
    <xf numFmtId="0" fontId="19" fillId="2" borderId="0" xfId="0" applyFont="1" applyFill="1"/>
    <xf numFmtId="0" fontId="20" fillId="0" borderId="0" xfId="0" applyFont="1" applyFill="1"/>
    <xf numFmtId="0" fontId="13" fillId="0" borderId="0" xfId="0" applyFont="1" applyFill="1"/>
    <xf numFmtId="0" fontId="32" fillId="7" borderId="0" xfId="0" applyFont="1" applyFill="1" applyBorder="1" applyAlignment="1">
      <alignment vertical="center"/>
    </xf>
    <xf numFmtId="0" fontId="31" fillId="2" borderId="0" xfId="0" applyFont="1" applyFill="1" applyBorder="1" applyAlignment="1"/>
    <xf numFmtId="0" fontId="15" fillId="6" borderId="0" xfId="0" applyFont="1" applyFill="1"/>
    <xf numFmtId="0" fontId="19" fillId="2" borderId="0" xfId="0" applyFont="1" applyFill="1" applyAlignment="1">
      <alignment horizontal="center"/>
    </xf>
    <xf numFmtId="0" fontId="15" fillId="2" borderId="0" xfId="0" applyFont="1" applyFill="1" applyAlignment="1">
      <alignment horizontal="left"/>
    </xf>
    <xf numFmtId="0" fontId="34" fillId="2" borderId="0" xfId="0" applyFont="1" applyFill="1" applyProtection="1"/>
    <xf numFmtId="0" fontId="33" fillId="2" borderId="0" xfId="0" applyFont="1" applyFill="1"/>
    <xf numFmtId="0" fontId="13" fillId="6" borderId="0" xfId="0" applyFont="1" applyFill="1"/>
    <xf numFmtId="165" fontId="15" fillId="6" borderId="0" xfId="0" applyNumberFormat="1" applyFont="1" applyFill="1"/>
    <xf numFmtId="0" fontId="35" fillId="6" borderId="0" xfId="0" applyFont="1" applyFill="1"/>
    <xf numFmtId="0" fontId="15" fillId="6" borderId="0" xfId="0" applyFont="1" applyFill="1" applyProtection="1"/>
    <xf numFmtId="0" fontId="12" fillId="6" borderId="0" xfId="0" applyFont="1" applyFill="1" applyProtection="1"/>
    <xf numFmtId="6" fontId="15" fillId="6" borderId="0" xfId="0" applyNumberFormat="1" applyFont="1" applyFill="1"/>
    <xf numFmtId="5" fontId="15" fillId="6" borderId="3" xfId="0" applyNumberFormat="1" applyFont="1" applyFill="1" applyBorder="1"/>
    <xf numFmtId="0" fontId="15" fillId="6" borderId="0" xfId="2" applyFont="1" applyFill="1"/>
    <xf numFmtId="0" fontId="15" fillId="6" borderId="0" xfId="2" quotePrefix="1" applyFont="1" applyFill="1"/>
    <xf numFmtId="165" fontId="15" fillId="6" borderId="3" xfId="2" applyNumberFormat="1" applyFont="1" applyFill="1" applyBorder="1"/>
    <xf numFmtId="0" fontId="14" fillId="6" borderId="0" xfId="2" applyFont="1" applyFill="1"/>
    <xf numFmtId="164" fontId="15" fillId="6" borderId="0" xfId="0" applyNumberFormat="1" applyFont="1" applyFill="1"/>
    <xf numFmtId="0" fontId="13" fillId="2" borderId="0" xfId="0" applyFont="1" applyFill="1" applyAlignment="1">
      <alignment horizontal="right"/>
    </xf>
    <xf numFmtId="0" fontId="15" fillId="2" borderId="0" xfId="0" applyFont="1" applyFill="1" applyAlignment="1">
      <alignment horizontal="center"/>
    </xf>
    <xf numFmtId="3" fontId="15" fillId="8" borderId="6" xfId="0" applyNumberFormat="1" applyFont="1" applyFill="1" applyBorder="1" applyAlignment="1" applyProtection="1">
      <alignment horizontal="left"/>
    </xf>
    <xf numFmtId="0" fontId="15" fillId="6" borderId="0" xfId="0" applyFont="1" applyFill="1" applyAlignment="1" applyProtection="1">
      <alignment horizontal="center"/>
    </xf>
    <xf numFmtId="165" fontId="15" fillId="6" borderId="0" xfId="0" applyNumberFormat="1" applyFont="1" applyFill="1" applyProtection="1"/>
    <xf numFmtId="3" fontId="15" fillId="6" borderId="0" xfId="0" applyNumberFormat="1" applyFont="1" applyFill="1" applyProtection="1"/>
    <xf numFmtId="2" fontId="12" fillId="2" borderId="0" xfId="0" applyNumberFormat="1" applyFont="1" applyFill="1" applyProtection="1"/>
    <xf numFmtId="0" fontId="36" fillId="2" borderId="0" xfId="0" applyFont="1" applyFill="1" applyProtection="1"/>
    <xf numFmtId="164" fontId="12" fillId="2" borderId="0" xfId="0" applyNumberFormat="1" applyFont="1" applyFill="1" applyProtection="1"/>
    <xf numFmtId="2" fontId="12" fillId="6" borderId="0" xfId="0" applyNumberFormat="1" applyFont="1" applyFill="1" applyProtection="1"/>
    <xf numFmtId="0" fontId="36" fillId="6" borderId="0" xfId="0" applyFont="1" applyFill="1" applyProtection="1"/>
    <xf numFmtId="8" fontId="15" fillId="8" borderId="6" xfId="0" applyNumberFormat="1" applyFont="1" applyFill="1" applyBorder="1" applyProtection="1"/>
    <xf numFmtId="0" fontId="13" fillId="6" borderId="0" xfId="0" applyFont="1" applyFill="1" applyAlignment="1" applyProtection="1">
      <alignment horizontal="right"/>
    </xf>
    <xf numFmtId="0" fontId="15" fillId="6" borderId="0" xfId="0" applyFont="1" applyFill="1" applyBorder="1" applyAlignment="1" applyProtection="1">
      <alignment horizontal="center"/>
    </xf>
    <xf numFmtId="0" fontId="12" fillId="2" borderId="0" xfId="0" applyNumberFormat="1" applyFont="1" applyFill="1" applyProtection="1"/>
    <xf numFmtId="0" fontId="13" fillId="2" borderId="10" xfId="0" applyFont="1" applyFill="1" applyBorder="1"/>
    <xf numFmtId="164" fontId="13" fillId="2" borderId="0" xfId="0" applyNumberFormat="1" applyFont="1" applyFill="1" applyBorder="1" applyAlignment="1">
      <alignment horizontal="right"/>
    </xf>
    <xf numFmtId="164" fontId="13" fillId="2" borderId="36" xfId="0" applyNumberFormat="1" applyFont="1" applyFill="1" applyBorder="1" applyAlignment="1">
      <alignment horizontal="right"/>
    </xf>
    <xf numFmtId="164" fontId="13" fillId="2" borderId="11" xfId="0" applyNumberFormat="1" applyFont="1" applyFill="1" applyBorder="1" applyAlignment="1">
      <alignment horizontal="right"/>
    </xf>
    <xf numFmtId="166" fontId="13" fillId="2" borderId="5" xfId="0" applyNumberFormat="1" applyFont="1" applyFill="1" applyBorder="1" applyAlignment="1">
      <alignment horizontal="right"/>
    </xf>
    <xf numFmtId="166" fontId="13" fillId="2" borderId="13" xfId="0" applyNumberFormat="1" applyFont="1" applyFill="1" applyBorder="1" applyAlignment="1">
      <alignment horizontal="right"/>
    </xf>
    <xf numFmtId="0" fontId="37" fillId="2" borderId="0" xfId="0" applyFont="1" applyFill="1" applyProtection="1"/>
    <xf numFmtId="0" fontId="23" fillId="2" borderId="0" xfId="0" applyFont="1" applyFill="1" applyProtection="1"/>
    <xf numFmtId="6" fontId="15" fillId="2" borderId="0" xfId="0" applyNumberFormat="1" applyFont="1" applyFill="1" applyProtection="1"/>
    <xf numFmtId="167" fontId="15" fillId="6" borderId="0" xfId="0" applyNumberFormat="1" applyFont="1" applyFill="1" applyProtection="1"/>
    <xf numFmtId="0" fontId="15" fillId="6" borderId="10" xfId="0" applyFont="1" applyFill="1" applyBorder="1"/>
    <xf numFmtId="6" fontId="15" fillId="6" borderId="0" xfId="0" applyNumberFormat="1" applyFont="1" applyFill="1" applyBorder="1" applyProtection="1"/>
    <xf numFmtId="0" fontId="15" fillId="2" borderId="0" xfId="0" applyFont="1" applyFill="1" applyAlignment="1">
      <alignment horizontal="center"/>
    </xf>
    <xf numFmtId="165" fontId="15" fillId="6" borderId="3" xfId="0" applyNumberFormat="1" applyFont="1" applyFill="1" applyBorder="1"/>
    <xf numFmtId="0" fontId="15" fillId="2" borderId="0" xfId="0" applyFont="1" applyFill="1" applyAlignment="1">
      <alignment horizontal="center"/>
    </xf>
    <xf numFmtId="167" fontId="13" fillId="0" borderId="0" xfId="0" applyNumberFormat="1" applyFont="1" applyFill="1" applyBorder="1" applyProtection="1"/>
    <xf numFmtId="167" fontId="13" fillId="6" borderId="0" xfId="0" applyNumberFormat="1" applyFont="1" applyFill="1" applyBorder="1" applyProtection="1"/>
    <xf numFmtId="8" fontId="15" fillId="8" borderId="6" xfId="0" applyNumberFormat="1" applyFont="1" applyFill="1" applyBorder="1" applyProtection="1">
      <protection locked="0"/>
    </xf>
    <xf numFmtId="0" fontId="15" fillId="2" borderId="8" xfId="0" applyFont="1" applyFill="1" applyBorder="1"/>
    <xf numFmtId="0" fontId="15" fillId="2" borderId="36" xfId="0" applyFont="1" applyFill="1" applyBorder="1"/>
    <xf numFmtId="44" fontId="15" fillId="2" borderId="0" xfId="4" applyFont="1" applyFill="1"/>
    <xf numFmtId="167" fontId="15" fillId="6" borderId="0" xfId="0" applyNumberFormat="1" applyFont="1" applyFill="1" applyBorder="1" applyProtection="1"/>
    <xf numFmtId="164" fontId="15" fillId="6" borderId="0" xfId="0" applyNumberFormat="1" applyFont="1" applyFill="1" applyBorder="1" applyAlignment="1">
      <alignment horizontal="right"/>
    </xf>
    <xf numFmtId="164" fontId="15" fillId="6" borderId="11" xfId="0" applyNumberFormat="1" applyFont="1" applyFill="1" applyBorder="1" applyAlignment="1">
      <alignment horizontal="right"/>
    </xf>
    <xf numFmtId="0" fontId="13" fillId="6" borderId="16" xfId="0" applyFont="1" applyFill="1" applyBorder="1" applyAlignment="1">
      <alignment horizontal="right"/>
    </xf>
    <xf numFmtId="0" fontId="13" fillId="6" borderId="17" xfId="0" applyFont="1" applyFill="1" applyBorder="1" applyAlignment="1">
      <alignment horizontal="right"/>
    </xf>
    <xf numFmtId="0" fontId="13" fillId="2" borderId="0" xfId="0" applyFont="1" applyFill="1" applyBorder="1" applyAlignment="1">
      <alignment horizontal="center"/>
    </xf>
    <xf numFmtId="3" fontId="15" fillId="6" borderId="3" xfId="0" applyNumberFormat="1" applyFont="1" applyFill="1" applyBorder="1" applyAlignment="1">
      <alignment horizontal="center"/>
    </xf>
    <xf numFmtId="5" fontId="15" fillId="6" borderId="4" xfId="0" applyNumberFormat="1" applyFont="1" applyFill="1" applyBorder="1"/>
    <xf numFmtId="3" fontId="15" fillId="8" borderId="6" xfId="0" applyNumberFormat="1" applyFont="1" applyFill="1" applyBorder="1" applyAlignment="1" applyProtection="1">
      <alignment horizontal="left"/>
      <protection locked="0"/>
    </xf>
    <xf numFmtId="2" fontId="15" fillId="2" borderId="0" xfId="3" applyNumberFormat="1" applyFont="1" applyFill="1" applyProtection="1"/>
    <xf numFmtId="0" fontId="40" fillId="2" borderId="0" xfId="0" applyFont="1" applyFill="1" applyProtection="1"/>
    <xf numFmtId="0" fontId="33" fillId="2" borderId="0" xfId="0" applyFont="1" applyFill="1" applyBorder="1" applyProtection="1"/>
    <xf numFmtId="172" fontId="33" fillId="2" borderId="0" xfId="3" applyNumberFormat="1" applyFont="1" applyFill="1" applyBorder="1" applyProtection="1"/>
    <xf numFmtId="172" fontId="39" fillId="2" borderId="0" xfId="3" applyNumberFormat="1" applyFont="1" applyFill="1" applyBorder="1" applyProtection="1"/>
    <xf numFmtId="164" fontId="34" fillId="2" borderId="0" xfId="0" applyNumberFormat="1" applyFont="1" applyFill="1" applyProtection="1"/>
    <xf numFmtId="0" fontId="34" fillId="6" borderId="0" xfId="0" applyFont="1" applyFill="1" applyProtection="1"/>
    <xf numFmtId="0" fontId="33" fillId="2" borderId="0" xfId="0" applyFont="1" applyFill="1" applyProtection="1"/>
    <xf numFmtId="0" fontId="15" fillId="2" borderId="0" xfId="0" applyFont="1" applyFill="1" applyAlignment="1">
      <alignment horizontal="center"/>
    </xf>
    <xf numFmtId="0" fontId="15" fillId="2" borderId="0" xfId="0" applyFont="1" applyFill="1" applyAlignment="1">
      <alignment horizontal="center"/>
    </xf>
    <xf numFmtId="2" fontId="34" fillId="6" borderId="0" xfId="0" applyNumberFormat="1" applyFont="1" applyFill="1" applyProtection="1"/>
    <xf numFmtId="0" fontId="41" fillId="6" borderId="0" xfId="0" applyFont="1" applyFill="1" applyProtection="1"/>
    <xf numFmtId="0" fontId="23" fillId="6" borderId="0" xfId="0" applyFont="1" applyFill="1" applyProtection="1"/>
    <xf numFmtId="164" fontId="15" fillId="2" borderId="14" xfId="0" applyNumberFormat="1" applyFont="1" applyFill="1" applyBorder="1" applyAlignment="1" applyProtection="1">
      <alignment horizontal="center"/>
    </xf>
    <xf numFmtId="0" fontId="13" fillId="2" borderId="0" xfId="0" applyFont="1" applyFill="1" applyBorder="1" applyAlignment="1" applyProtection="1">
      <alignment horizontal="right"/>
    </xf>
    <xf numFmtId="164" fontId="15" fillId="6" borderId="22" xfId="0" applyNumberFormat="1" applyFont="1" applyFill="1" applyBorder="1" applyAlignment="1" applyProtection="1">
      <alignment horizontal="center"/>
    </xf>
    <xf numFmtId="0" fontId="0" fillId="2" borderId="36" xfId="0" applyFill="1" applyBorder="1"/>
    <xf numFmtId="6" fontId="15" fillId="2" borderId="9" xfId="0" applyNumberFormat="1" applyFont="1" applyFill="1" applyBorder="1"/>
    <xf numFmtId="6" fontId="15" fillId="2" borderId="11" xfId="0" applyNumberFormat="1" applyFont="1" applyFill="1" applyBorder="1"/>
    <xf numFmtId="0" fontId="0" fillId="2" borderId="5" xfId="0" applyFill="1" applyBorder="1"/>
    <xf numFmtId="6" fontId="15" fillId="2" borderId="13" xfId="0" applyNumberFormat="1" applyFont="1" applyFill="1" applyBorder="1"/>
    <xf numFmtId="0" fontId="13" fillId="2" borderId="15" xfId="0" applyFont="1" applyFill="1" applyBorder="1"/>
    <xf numFmtId="0" fontId="0" fillId="2" borderId="16" xfId="0" applyFill="1" applyBorder="1"/>
    <xf numFmtId="9" fontId="15" fillId="8" borderId="6" xfId="3" applyFont="1" applyFill="1" applyBorder="1" applyAlignment="1" applyProtection="1">
      <alignment horizontal="center"/>
      <protection locked="0"/>
    </xf>
    <xf numFmtId="9" fontId="15" fillId="3" borderId="6" xfId="3" applyFont="1" applyFill="1" applyBorder="1" applyAlignment="1" applyProtection="1">
      <alignment horizontal="center"/>
      <protection locked="0"/>
    </xf>
    <xf numFmtId="10" fontId="15" fillId="8" borderId="6" xfId="3" applyNumberFormat="1" applyFont="1" applyFill="1" applyBorder="1" applyAlignment="1" applyProtection="1">
      <alignment horizontal="center"/>
      <protection locked="0"/>
    </xf>
    <xf numFmtId="3" fontId="13" fillId="6" borderId="0" xfId="0" applyNumberFormat="1" applyFont="1" applyFill="1" applyProtection="1"/>
    <xf numFmtId="0" fontId="12" fillId="6" borderId="0" xfId="0" applyFont="1" applyFill="1" applyBorder="1" applyAlignment="1" applyProtection="1"/>
    <xf numFmtId="0" fontId="14" fillId="6" borderId="0" xfId="0" applyFont="1" applyFill="1" applyBorder="1" applyAlignment="1" applyProtection="1">
      <alignment vertical="center"/>
    </xf>
    <xf numFmtId="0" fontId="14" fillId="6" borderId="0" xfId="0" applyFont="1" applyFill="1" applyBorder="1" applyAlignment="1" applyProtection="1">
      <alignment vertical="center" wrapText="1"/>
    </xf>
    <xf numFmtId="172" fontId="13" fillId="6" borderId="0" xfId="3" applyNumberFormat="1" applyFont="1" applyFill="1" applyBorder="1" applyProtection="1"/>
    <xf numFmtId="10" fontId="12" fillId="6" borderId="0" xfId="3" applyNumberFormat="1" applyFont="1" applyFill="1" applyProtection="1"/>
    <xf numFmtId="0" fontId="13" fillId="6" borderId="0" xfId="3" applyNumberFormat="1" applyFont="1" applyFill="1" applyBorder="1" applyProtection="1"/>
    <xf numFmtId="0" fontId="15" fillId="6" borderId="0" xfId="0" applyFont="1" applyFill="1" applyBorder="1" applyProtection="1"/>
    <xf numFmtId="2" fontId="15" fillId="6" borderId="0" xfId="0" applyNumberFormat="1" applyFont="1" applyFill="1" applyProtection="1"/>
    <xf numFmtId="2" fontId="15" fillId="6" borderId="0" xfId="0" applyNumberFormat="1" applyFont="1" applyFill="1" applyBorder="1" applyProtection="1"/>
    <xf numFmtId="0" fontId="12" fillId="6" borderId="0" xfId="0" applyNumberFormat="1" applyFont="1" applyFill="1" applyProtection="1"/>
    <xf numFmtId="0" fontId="15" fillId="2" borderId="0" xfId="0" applyFont="1" applyFill="1" applyBorder="1" applyAlignment="1" applyProtection="1">
      <alignment horizontal="right"/>
    </xf>
    <xf numFmtId="0" fontId="14" fillId="6" borderId="0" xfId="0" applyFont="1" applyFill="1"/>
    <xf numFmtId="167" fontId="15" fillId="6" borderId="0" xfId="0" applyNumberFormat="1" applyFont="1" applyFill="1" applyBorder="1" applyAlignment="1" applyProtection="1">
      <alignment horizontal="center"/>
    </xf>
    <xf numFmtId="0" fontId="13" fillId="6" borderId="0" xfId="0" applyFont="1" applyFill="1" applyProtection="1"/>
    <xf numFmtId="0" fontId="15" fillId="6" borderId="0" xfId="0" applyFont="1" applyFill="1" applyBorder="1"/>
    <xf numFmtId="2" fontId="15" fillId="2" borderId="0" xfId="0" applyNumberFormat="1" applyFont="1" applyFill="1" applyBorder="1"/>
    <xf numFmtId="0" fontId="23" fillId="2" borderId="0" xfId="0" applyFont="1" applyFill="1" applyAlignment="1"/>
    <xf numFmtId="164" fontId="15" fillId="6" borderId="0" xfId="0" applyNumberFormat="1" applyFont="1" applyFill="1" applyBorder="1" applyAlignment="1" applyProtection="1">
      <alignment horizontal="center"/>
    </xf>
    <xf numFmtId="164" fontId="15" fillId="2" borderId="0" xfId="0" applyNumberFormat="1" applyFont="1" applyFill="1" applyBorder="1" applyAlignment="1" applyProtection="1">
      <alignment horizontal="center"/>
    </xf>
    <xf numFmtId="0" fontId="0" fillId="6" borderId="0" xfId="0" applyFill="1"/>
    <xf numFmtId="0" fontId="15" fillId="6" borderId="0" xfId="0" applyFont="1" applyFill="1" applyAlignment="1">
      <alignment horizontal="right"/>
    </xf>
    <xf numFmtId="0" fontId="15" fillId="6" borderId="0" xfId="0" applyFont="1" applyFill="1" applyAlignment="1" applyProtection="1">
      <alignment horizontal="right"/>
    </xf>
    <xf numFmtId="0" fontId="15" fillId="6" borderId="0" xfId="0" applyFont="1" applyFill="1" applyBorder="1" applyAlignment="1" applyProtection="1">
      <alignment horizontal="left"/>
    </xf>
    <xf numFmtId="0" fontId="42" fillId="6" borderId="0" xfId="0" applyFont="1" applyFill="1" applyAlignment="1" applyProtection="1"/>
    <xf numFmtId="0" fontId="15" fillId="8" borderId="6" xfId="0" applyFont="1" applyFill="1" applyBorder="1" applyAlignment="1" applyProtection="1">
      <alignment horizontal="center"/>
      <protection locked="0"/>
    </xf>
    <xf numFmtId="6" fontId="15" fillId="8" borderId="6" xfId="0" applyNumberFormat="1" applyFont="1" applyFill="1" applyBorder="1" applyAlignment="1" applyProtection="1">
      <protection locked="0"/>
    </xf>
    <xf numFmtId="0" fontId="0" fillId="0" borderId="0" xfId="0"/>
    <xf numFmtId="0" fontId="13" fillId="6" borderId="0" xfId="0" applyFont="1" applyFill="1" applyAlignment="1">
      <alignment horizontal="right"/>
    </xf>
    <xf numFmtId="0" fontId="2" fillId="6" borderId="0" xfId="0" applyFont="1" applyFill="1"/>
    <xf numFmtId="0" fontId="13" fillId="6" borderId="0" xfId="0" applyFont="1" applyFill="1" applyAlignment="1">
      <alignment horizontal="left"/>
    </xf>
    <xf numFmtId="0" fontId="15" fillId="6" borderId="0" xfId="0" applyFont="1" applyFill="1" applyAlignment="1">
      <alignment horizontal="left"/>
    </xf>
    <xf numFmtId="0" fontId="13" fillId="6" borderId="0" xfId="0" applyFont="1" applyFill="1" applyBorder="1" applyAlignment="1" applyProtection="1">
      <alignment horizontal="center"/>
    </xf>
    <xf numFmtId="0" fontId="44" fillId="6" borderId="0" xfId="0" applyFont="1" applyFill="1"/>
    <xf numFmtId="164" fontId="13" fillId="2" borderId="9" xfId="0" applyNumberFormat="1" applyFont="1" applyFill="1" applyBorder="1" applyAlignment="1">
      <alignment horizontal="right"/>
    </xf>
    <xf numFmtId="0" fontId="26" fillId="2" borderId="0" xfId="0" applyFont="1" applyFill="1" applyBorder="1"/>
    <xf numFmtId="0" fontId="13" fillId="6" borderId="0" xfId="0" applyFont="1" applyFill="1" applyBorder="1" applyProtection="1"/>
    <xf numFmtId="0" fontId="15" fillId="8" borderId="6" xfId="0" applyFont="1" applyFill="1" applyBorder="1" applyAlignment="1" applyProtection="1">
      <alignment horizontal="center"/>
    </xf>
    <xf numFmtId="0" fontId="45" fillId="2" borderId="0" xfId="0" applyFont="1" applyFill="1"/>
    <xf numFmtId="0" fontId="24" fillId="6" borderId="0" xfId="0" applyFont="1" applyFill="1"/>
    <xf numFmtId="0" fontId="19" fillId="6" borderId="0" xfId="0" applyFont="1" applyFill="1"/>
    <xf numFmtId="0" fontId="15" fillId="6" borderId="0" xfId="0" applyFont="1" applyFill="1" applyAlignment="1">
      <alignment horizontal="left" indent="1"/>
    </xf>
    <xf numFmtId="0" fontId="15" fillId="6" borderId="0" xfId="0" applyFont="1" applyFill="1" applyAlignment="1">
      <alignment horizontal="left" indent="2"/>
    </xf>
    <xf numFmtId="0" fontId="19" fillId="6" borderId="0" xfId="0" applyFont="1" applyFill="1" applyAlignment="1">
      <alignment horizontal="left" indent="1"/>
    </xf>
    <xf numFmtId="0" fontId="15" fillId="6" borderId="0" xfId="0" applyFont="1" applyFill="1" applyAlignment="1">
      <alignment horizontal="left" vertical="top" wrapText="1"/>
    </xf>
    <xf numFmtId="173" fontId="15" fillId="3" borderId="6" xfId="0" applyNumberFormat="1" applyFont="1" applyFill="1" applyBorder="1" applyProtection="1">
      <protection locked="0"/>
    </xf>
    <xf numFmtId="10" fontId="15" fillId="2" borderId="14" xfId="3" applyNumberFormat="1" applyFont="1" applyFill="1" applyBorder="1" applyAlignment="1" applyProtection="1">
      <alignment horizontal="center"/>
    </xf>
    <xf numFmtId="1" fontId="15" fillId="6" borderId="0" xfId="0" applyNumberFormat="1" applyFont="1" applyFill="1" applyAlignment="1" applyProtection="1">
      <alignment horizontal="left"/>
    </xf>
    <xf numFmtId="2" fontId="13" fillId="6" borderId="0" xfId="0" applyNumberFormat="1" applyFont="1" applyFill="1"/>
    <xf numFmtId="2" fontId="13" fillId="6" borderId="0" xfId="0" applyNumberFormat="1" applyFont="1" applyFill="1" applyAlignment="1">
      <alignment horizontal="left" wrapText="1"/>
    </xf>
    <xf numFmtId="174" fontId="13" fillId="6" borderId="0" xfId="0" applyNumberFormat="1" applyFont="1" applyFill="1"/>
    <xf numFmtId="174" fontId="15" fillId="6" borderId="0" xfId="0" quotePrefix="1" applyNumberFormat="1" applyFont="1" applyFill="1" applyAlignment="1">
      <alignment horizontal="left"/>
    </xf>
    <xf numFmtId="2" fontId="13" fillId="6" borderId="0" xfId="0" applyNumberFormat="1" applyFont="1" applyFill="1" applyAlignment="1">
      <alignment horizontal="left"/>
    </xf>
    <xf numFmtId="2" fontId="13" fillId="6" borderId="0" xfId="0" applyNumberFormat="1" applyFont="1" applyFill="1" applyProtection="1"/>
    <xf numFmtId="0" fontId="13" fillId="6" borderId="0" xfId="0" applyFont="1" applyFill="1" applyAlignment="1" applyProtection="1">
      <alignment horizontal="left"/>
    </xf>
    <xf numFmtId="0" fontId="0" fillId="6" borderId="0" xfId="0" applyFill="1" applyProtection="1"/>
    <xf numFmtId="174" fontId="15" fillId="6" borderId="0" xfId="0" quotePrefix="1" applyNumberFormat="1" applyFont="1" applyFill="1" applyAlignment="1" applyProtection="1">
      <alignment horizontal="left"/>
    </xf>
    <xf numFmtId="174" fontId="15" fillId="6" borderId="0" xfId="0" applyNumberFormat="1" applyFont="1" applyFill="1" applyAlignment="1" applyProtection="1">
      <alignment horizontal="left"/>
    </xf>
    <xf numFmtId="0" fontId="0" fillId="6" borderId="0" xfId="0" applyFill="1" applyBorder="1" applyAlignment="1" applyProtection="1">
      <alignment horizontal="left"/>
    </xf>
    <xf numFmtId="0" fontId="15" fillId="6" borderId="0" xfId="0" applyFont="1" applyFill="1" applyBorder="1" applyAlignment="1" applyProtection="1">
      <alignment horizontal="left" vertical="top"/>
    </xf>
    <xf numFmtId="0" fontId="15" fillId="6" borderId="0" xfId="0" applyFont="1" applyFill="1" applyAlignment="1" applyProtection="1">
      <alignment horizontal="left"/>
    </xf>
    <xf numFmtId="174" fontId="35" fillId="6" borderId="0" xfId="0" quotePrefix="1" applyNumberFormat="1" applyFont="1" applyFill="1" applyAlignment="1" applyProtection="1">
      <alignment horizontal="left"/>
    </xf>
    <xf numFmtId="174" fontId="13" fillId="6" borderId="0" xfId="0" applyNumberFormat="1" applyFont="1" applyFill="1" applyProtection="1"/>
    <xf numFmtId="0" fontId="23" fillId="2" borderId="0" xfId="0" applyFont="1" applyFill="1" applyAlignment="1">
      <alignment horizontal="center"/>
    </xf>
    <xf numFmtId="9" fontId="15" fillId="6" borderId="0" xfId="3" applyFont="1" applyFill="1" applyBorder="1" applyAlignment="1" applyProtection="1">
      <alignment horizontal="center"/>
    </xf>
    <xf numFmtId="3" fontId="15" fillId="2" borderId="0" xfId="0" applyNumberFormat="1" applyFont="1" applyFill="1" applyBorder="1" applyAlignment="1" applyProtection="1">
      <alignment horizontal="center"/>
    </xf>
    <xf numFmtId="5" fontId="15" fillId="2" borderId="0" xfId="0" applyNumberFormat="1" applyFont="1" applyFill="1" applyBorder="1" applyProtection="1"/>
    <xf numFmtId="10" fontId="14" fillId="6" borderId="0" xfId="3" applyNumberFormat="1" applyFont="1" applyFill="1" applyBorder="1" applyAlignment="1" applyProtection="1">
      <alignment horizontal="left" vertical="top" wrapText="1"/>
    </xf>
    <xf numFmtId="0" fontId="15" fillId="2" borderId="0" xfId="2" quotePrefix="1" applyFont="1" applyFill="1" applyProtection="1"/>
    <xf numFmtId="0" fontId="15" fillId="2" borderId="0" xfId="2" applyFont="1" applyFill="1" applyProtection="1"/>
    <xf numFmtId="0" fontId="14" fillId="2" borderId="0" xfId="2" applyFont="1" applyFill="1" applyProtection="1"/>
    <xf numFmtId="0" fontId="14" fillId="2" borderId="0" xfId="2" applyFont="1" applyFill="1" applyBorder="1" applyProtection="1"/>
    <xf numFmtId="10" fontId="15" fillId="6" borderId="0" xfId="3" applyNumberFormat="1" applyFont="1" applyFill="1" applyBorder="1" applyAlignment="1" applyProtection="1">
      <alignment horizontal="center"/>
    </xf>
    <xf numFmtId="10" fontId="14" fillId="6" borderId="0" xfId="3" applyNumberFormat="1" applyFont="1" applyFill="1" applyBorder="1" applyAlignment="1" applyProtection="1">
      <alignment horizontal="left" vertical="center" wrapText="1"/>
    </xf>
    <xf numFmtId="0" fontId="13" fillId="2" borderId="8" xfId="0" applyFont="1" applyFill="1" applyBorder="1"/>
    <xf numFmtId="0" fontId="13" fillId="6" borderId="9" xfId="0" applyFont="1" applyFill="1" applyBorder="1" applyAlignment="1">
      <alignment horizontal="right"/>
    </xf>
    <xf numFmtId="167" fontId="12" fillId="2" borderId="0" xfId="0" applyNumberFormat="1" applyFont="1" applyFill="1" applyProtection="1"/>
    <xf numFmtId="0" fontId="15" fillId="6" borderId="0" xfId="0" applyFont="1" applyFill="1" applyAlignment="1">
      <alignment horizontal="left" vertical="top" wrapText="1"/>
    </xf>
    <xf numFmtId="0" fontId="13" fillId="6" borderId="5" xfId="0" applyFont="1" applyFill="1" applyBorder="1"/>
    <xf numFmtId="0" fontId="15" fillId="6" borderId="0"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3" xfId="0" applyFont="1" applyFill="1" applyBorder="1" applyAlignment="1" applyProtection="1">
      <alignment horizontal="center"/>
    </xf>
    <xf numFmtId="0" fontId="13" fillId="2" borderId="0" xfId="0" applyFont="1" applyFill="1" applyAlignment="1" applyProtection="1">
      <alignment horizontal="right"/>
    </xf>
    <xf numFmtId="0" fontId="19" fillId="2" borderId="0" xfId="0" applyFont="1" applyFill="1" applyAlignment="1" applyProtection="1">
      <alignment horizontal="center"/>
    </xf>
    <xf numFmtId="2" fontId="13" fillId="6" borderId="0" xfId="0" applyNumberFormat="1" applyFont="1" applyFill="1" applyAlignment="1" applyProtection="1">
      <alignment horizontal="left"/>
    </xf>
    <xf numFmtId="0" fontId="2" fillId="6" borderId="0" xfId="0" applyFont="1" applyFill="1" applyAlignment="1" applyProtection="1">
      <alignment horizontal="left"/>
    </xf>
    <xf numFmtId="0" fontId="43" fillId="6" borderId="0" xfId="0" applyFont="1" applyFill="1" applyAlignment="1" applyProtection="1">
      <alignment horizontal="right"/>
    </xf>
    <xf numFmtId="0" fontId="2" fillId="6" borderId="0" xfId="0" applyFont="1" applyFill="1" applyProtection="1"/>
    <xf numFmtId="10" fontId="15" fillId="2" borderId="0" xfId="0" applyNumberFormat="1" applyFont="1" applyFill="1" applyProtection="1"/>
    <xf numFmtId="0" fontId="19" fillId="6" borderId="0" xfId="0" applyFont="1" applyFill="1" applyBorder="1" applyAlignment="1" applyProtection="1"/>
    <xf numFmtId="10" fontId="15" fillId="6" borderId="0" xfId="0" applyNumberFormat="1" applyFont="1" applyFill="1" applyBorder="1" applyProtection="1"/>
    <xf numFmtId="0" fontId="13" fillId="2" borderId="19" xfId="0" applyFont="1" applyFill="1" applyBorder="1" applyAlignment="1" applyProtection="1">
      <alignment horizontal="center"/>
    </xf>
    <xf numFmtId="8" fontId="13" fillId="2" borderId="26" xfId="0" applyNumberFormat="1" applyFont="1" applyFill="1" applyBorder="1" applyAlignment="1" applyProtection="1">
      <alignment horizontal="right"/>
    </xf>
    <xf numFmtId="8" fontId="13" fillId="2" borderId="27" xfId="0" applyNumberFormat="1" applyFont="1" applyFill="1" applyBorder="1" applyAlignment="1" applyProtection="1">
      <alignment horizontal="right"/>
    </xf>
    <xf numFmtId="8" fontId="13" fillId="2" borderId="28" xfId="0" applyNumberFormat="1" applyFont="1" applyFill="1" applyBorder="1" applyAlignment="1" applyProtection="1">
      <alignment horizontal="right"/>
    </xf>
    <xf numFmtId="9" fontId="15" fillId="8" borderId="6" xfId="3" applyFont="1" applyFill="1" applyBorder="1" applyAlignment="1" applyProtection="1">
      <alignment horizontal="center"/>
    </xf>
    <xf numFmtId="9" fontId="15" fillId="3" borderId="6" xfId="3" applyFont="1" applyFill="1" applyBorder="1" applyAlignment="1" applyProtection="1">
      <alignment horizontal="center"/>
    </xf>
    <xf numFmtId="2" fontId="0" fillId="6" borderId="0" xfId="0" applyNumberFormat="1" applyFill="1" applyProtection="1"/>
    <xf numFmtId="10" fontId="15" fillId="8" borderId="6" xfId="3" applyNumberFormat="1" applyFont="1" applyFill="1" applyBorder="1" applyAlignment="1" applyProtection="1">
      <alignment horizontal="center"/>
    </xf>
    <xf numFmtId="10" fontId="14" fillId="6" borderId="0" xfId="3" applyNumberFormat="1" applyFont="1" applyFill="1" applyBorder="1" applyAlignment="1" applyProtection="1">
      <alignment vertical="top" wrapText="1"/>
    </xf>
    <xf numFmtId="0" fontId="35" fillId="2" borderId="0" xfId="0" applyFont="1" applyFill="1" applyProtection="1"/>
    <xf numFmtId="6" fontId="15" fillId="6" borderId="0" xfId="0" applyNumberFormat="1" applyFont="1" applyFill="1" applyProtection="1"/>
    <xf numFmtId="0" fontId="33" fillId="6" borderId="0" xfId="0" applyFont="1" applyFill="1" applyProtection="1"/>
    <xf numFmtId="0" fontId="35" fillId="6" borderId="0" xfId="0" applyFont="1" applyFill="1" applyProtection="1"/>
    <xf numFmtId="165" fontId="33" fillId="6" borderId="0" xfId="0" applyNumberFormat="1" applyFont="1" applyFill="1" applyProtection="1"/>
    <xf numFmtId="6" fontId="33" fillId="2" borderId="0" xfId="0" applyNumberFormat="1" applyFont="1" applyFill="1" applyProtection="1"/>
    <xf numFmtId="8" fontId="15" fillId="2" borderId="0" xfId="0" applyNumberFormat="1" applyFont="1" applyFill="1" applyProtection="1"/>
    <xf numFmtId="8" fontId="15" fillId="6" borderId="0" xfId="0" applyNumberFormat="1" applyFont="1" applyFill="1" applyProtection="1"/>
    <xf numFmtId="167" fontId="15" fillId="2" borderId="0" xfId="0" applyNumberFormat="1" applyFont="1" applyFill="1"/>
    <xf numFmtId="0" fontId="15" fillId="2" borderId="0" xfId="0" applyFont="1" applyFill="1" applyAlignment="1">
      <alignment horizontal="center"/>
    </xf>
    <xf numFmtId="169" fontId="15" fillId="2" borderId="19" xfId="0" applyNumberFormat="1" applyFont="1" applyFill="1" applyBorder="1" applyAlignment="1">
      <alignment horizontal="right"/>
    </xf>
    <xf numFmtId="0" fontId="15" fillId="2" borderId="7" xfId="0" applyFont="1" applyFill="1" applyBorder="1"/>
    <xf numFmtId="168" fontId="15" fillId="2" borderId="3" xfId="0" applyNumberFormat="1" applyFont="1" applyFill="1" applyBorder="1" applyProtection="1"/>
    <xf numFmtId="169" fontId="15" fillId="2" borderId="19" xfId="0" applyNumberFormat="1" applyFont="1" applyFill="1" applyBorder="1"/>
    <xf numFmtId="166" fontId="15" fillId="2" borderId="0" xfId="0" applyNumberFormat="1" applyFont="1" applyFill="1"/>
    <xf numFmtId="169" fontId="15" fillId="2" borderId="4" xfId="0" applyNumberFormat="1" applyFont="1" applyFill="1" applyBorder="1" applyAlignment="1">
      <alignment horizontal="right"/>
    </xf>
    <xf numFmtId="9" fontId="15" fillId="3" borderId="6" xfId="3" applyFont="1" applyFill="1" applyBorder="1" applyProtection="1">
      <protection locked="0"/>
    </xf>
    <xf numFmtId="164" fontId="1" fillId="6" borderId="0" xfId="38" applyNumberFormat="1" applyFill="1"/>
    <xf numFmtId="0" fontId="31" fillId="2" borderId="0" xfId="0" applyFont="1" applyFill="1" applyBorder="1" applyAlignment="1">
      <alignment horizontal="center"/>
    </xf>
    <xf numFmtId="0" fontId="32" fillId="4" borderId="0" xfId="0" applyFont="1" applyFill="1" applyBorder="1" applyAlignment="1">
      <alignment horizontal="center" vertical="center"/>
    </xf>
    <xf numFmtId="0" fontId="30" fillId="2" borderId="0" xfId="0" applyFont="1" applyFill="1" applyBorder="1" applyAlignment="1">
      <alignment horizontal="center"/>
    </xf>
    <xf numFmtId="0" fontId="15" fillId="8" borderId="8" xfId="0" applyFont="1" applyFill="1" applyBorder="1" applyAlignment="1" applyProtection="1">
      <alignment horizontal="left" vertical="top" wrapText="1"/>
      <protection locked="0"/>
    </xf>
    <xf numFmtId="0" fontId="15" fillId="8" borderId="36" xfId="0" applyFont="1" applyFill="1" applyBorder="1" applyAlignment="1" applyProtection="1">
      <alignment horizontal="left" vertical="top" wrapText="1"/>
      <protection locked="0"/>
    </xf>
    <xf numFmtId="0" fontId="15" fillId="8" borderId="9" xfId="0" applyFont="1" applyFill="1" applyBorder="1" applyAlignment="1" applyProtection="1">
      <alignment horizontal="left" vertical="top" wrapText="1"/>
      <protection locked="0"/>
    </xf>
    <xf numFmtId="0" fontId="15" fillId="8" borderId="12" xfId="0" applyFont="1" applyFill="1" applyBorder="1" applyAlignment="1" applyProtection="1">
      <alignment horizontal="left" vertical="top" wrapText="1"/>
      <protection locked="0"/>
    </xf>
    <xf numFmtId="0" fontId="15" fillId="8" borderId="5" xfId="0" applyFont="1" applyFill="1" applyBorder="1" applyAlignment="1" applyProtection="1">
      <alignment horizontal="left" vertical="top" wrapText="1"/>
      <protection locked="0"/>
    </xf>
    <xf numFmtId="0" fontId="15" fillId="8" borderId="13" xfId="0" applyFont="1" applyFill="1" applyBorder="1" applyAlignment="1" applyProtection="1">
      <alignment horizontal="left" vertical="top" wrapText="1"/>
      <protection locked="0"/>
    </xf>
    <xf numFmtId="0" fontId="15" fillId="6" borderId="0" xfId="0" applyFont="1" applyFill="1" applyAlignment="1" applyProtection="1">
      <alignment horizontal="left" wrapText="1"/>
    </xf>
    <xf numFmtId="0" fontId="15" fillId="6" borderId="5" xfId="0" applyFont="1" applyFill="1" applyBorder="1" applyAlignment="1" applyProtection="1">
      <alignment horizontal="left" wrapText="1"/>
    </xf>
    <xf numFmtId="0" fontId="15" fillId="8" borderId="10" xfId="0" applyFont="1" applyFill="1" applyBorder="1" applyAlignment="1" applyProtection="1">
      <alignment horizontal="left" vertical="top" wrapText="1"/>
      <protection locked="0"/>
    </xf>
    <xf numFmtId="0" fontId="15" fillId="8" borderId="0" xfId="0" applyFont="1" applyFill="1" applyBorder="1" applyAlignment="1" applyProtection="1">
      <alignment horizontal="left" vertical="top" wrapText="1"/>
      <protection locked="0"/>
    </xf>
    <xf numFmtId="0" fontId="15" fillId="8" borderId="11" xfId="0" applyFont="1" applyFill="1" applyBorder="1" applyAlignment="1" applyProtection="1">
      <alignment horizontal="left" vertical="top" wrapText="1"/>
      <protection locked="0"/>
    </xf>
    <xf numFmtId="0" fontId="15" fillId="8" borderId="15" xfId="0" applyFont="1" applyFill="1" applyBorder="1" applyAlignment="1" applyProtection="1">
      <alignment horizontal="left"/>
      <protection locked="0"/>
    </xf>
    <xf numFmtId="0" fontId="15" fillId="8" borderId="16" xfId="0" applyFont="1" applyFill="1" applyBorder="1" applyAlignment="1" applyProtection="1">
      <alignment horizontal="left"/>
      <protection locked="0"/>
    </xf>
    <xf numFmtId="0" fontId="15" fillId="8" borderId="17" xfId="0" applyFont="1" applyFill="1" applyBorder="1" applyAlignment="1" applyProtection="1">
      <alignment horizontal="left"/>
      <protection locked="0"/>
    </xf>
    <xf numFmtId="0" fontId="42" fillId="6" borderId="0" xfId="0" applyFont="1" applyFill="1" applyAlignment="1" applyProtection="1">
      <alignment horizontal="left" vertical="center" wrapText="1"/>
    </xf>
    <xf numFmtId="0" fontId="16" fillId="8" borderId="15" xfId="1" applyFont="1" applyFill="1" applyBorder="1" applyAlignment="1" applyProtection="1">
      <alignment horizontal="left"/>
      <protection locked="0"/>
    </xf>
    <xf numFmtId="0" fontId="16" fillId="8" borderId="16" xfId="1" applyFont="1" applyFill="1" applyBorder="1" applyAlignment="1" applyProtection="1">
      <alignment horizontal="left"/>
      <protection locked="0"/>
    </xf>
    <xf numFmtId="0" fontId="16" fillId="8" borderId="17" xfId="1" applyFont="1" applyFill="1" applyBorder="1" applyAlignment="1" applyProtection="1">
      <alignment horizontal="left"/>
      <protection locked="0"/>
    </xf>
    <xf numFmtId="0" fontId="13" fillId="6" borderId="0" xfId="0" applyFont="1" applyFill="1" applyAlignment="1" applyProtection="1">
      <alignment horizontal="left" vertical="top" wrapText="1"/>
    </xf>
    <xf numFmtId="0" fontId="42" fillId="6" borderId="0" xfId="0" applyFont="1" applyFill="1" applyAlignment="1" applyProtection="1">
      <alignment horizontal="center"/>
    </xf>
    <xf numFmtId="0" fontId="13" fillId="6" borderId="0" xfId="0" applyFont="1" applyFill="1" applyAlignment="1">
      <alignment horizontal="left" wrapText="1"/>
    </xf>
    <xf numFmtId="0" fontId="15" fillId="5" borderId="1" xfId="0" applyFont="1" applyFill="1" applyBorder="1" applyAlignment="1" applyProtection="1">
      <alignment horizontal="center"/>
    </xf>
    <xf numFmtId="0" fontId="15" fillId="5" borderId="30" xfId="0" applyFont="1" applyFill="1" applyBorder="1" applyAlignment="1" applyProtection="1">
      <alignment horizontal="center"/>
    </xf>
    <xf numFmtId="0" fontId="15" fillId="5" borderId="31" xfId="0" applyFont="1" applyFill="1" applyBorder="1" applyAlignment="1" applyProtection="1">
      <alignment horizontal="center"/>
    </xf>
    <xf numFmtId="0" fontId="15" fillId="5" borderId="37" xfId="0" applyFont="1" applyFill="1" applyBorder="1" applyAlignment="1" applyProtection="1">
      <alignment horizontal="center" wrapText="1"/>
    </xf>
    <xf numFmtId="0" fontId="15" fillId="5" borderId="38" xfId="0" applyFont="1" applyFill="1" applyBorder="1" applyAlignment="1" applyProtection="1">
      <alignment horizontal="center" wrapText="1"/>
    </xf>
    <xf numFmtId="0" fontId="15" fillId="5" borderId="39" xfId="0" applyFont="1" applyFill="1" applyBorder="1" applyAlignment="1" applyProtection="1">
      <alignment horizontal="center" wrapText="1"/>
    </xf>
    <xf numFmtId="0" fontId="15" fillId="5" borderId="33" xfId="0" applyFont="1" applyFill="1" applyBorder="1" applyAlignment="1" applyProtection="1">
      <alignment horizontal="center" wrapText="1"/>
    </xf>
    <xf numFmtId="0" fontId="15" fillId="5" borderId="3" xfId="0" applyFont="1" applyFill="1" applyBorder="1" applyAlignment="1" applyProtection="1">
      <alignment horizontal="center" wrapText="1"/>
    </xf>
    <xf numFmtId="0" fontId="15" fillId="5" borderId="25" xfId="0" applyFont="1" applyFill="1" applyBorder="1" applyAlignment="1" applyProtection="1">
      <alignment horizontal="center" wrapText="1"/>
    </xf>
    <xf numFmtId="0" fontId="14" fillId="5" borderId="34" xfId="0" applyFont="1" applyFill="1" applyBorder="1" applyAlignment="1" applyProtection="1">
      <alignment horizontal="left" vertical="center" wrapText="1"/>
    </xf>
    <xf numFmtId="0" fontId="14" fillId="5" borderId="35" xfId="0" applyFont="1" applyFill="1" applyBorder="1" applyAlignment="1" applyProtection="1">
      <alignment horizontal="left" vertical="center" wrapText="1"/>
    </xf>
    <xf numFmtId="0" fontId="14" fillId="5" borderId="2" xfId="0" applyFont="1" applyFill="1" applyBorder="1" applyAlignment="1" applyProtection="1">
      <alignment horizontal="left" vertical="center" wrapText="1"/>
    </xf>
    <xf numFmtId="0" fontId="14" fillId="5" borderId="32" xfId="0" applyFont="1" applyFill="1" applyBorder="1" applyAlignment="1" applyProtection="1">
      <alignment horizontal="left" vertical="center" wrapText="1"/>
    </xf>
    <xf numFmtId="0" fontId="14" fillId="5" borderId="33" xfId="0" applyFont="1" applyFill="1" applyBorder="1" applyAlignment="1" applyProtection="1">
      <alignment horizontal="left" vertical="center" wrapText="1"/>
    </xf>
    <xf numFmtId="0" fontId="14" fillId="5" borderId="25" xfId="0" applyFont="1" applyFill="1" applyBorder="1" applyAlignment="1" applyProtection="1">
      <alignment horizontal="left" vertical="center" wrapText="1"/>
    </xf>
    <xf numFmtId="0" fontId="13" fillId="2" borderId="0" xfId="0" applyFont="1" applyFill="1" applyAlignment="1">
      <alignment horizontal="right"/>
    </xf>
    <xf numFmtId="0" fontId="13" fillId="2" borderId="5" xfId="0" applyFont="1" applyFill="1" applyBorder="1" applyAlignment="1">
      <alignment horizontal="center"/>
    </xf>
    <xf numFmtId="0" fontId="15" fillId="6" borderId="0" xfId="0" applyFont="1" applyFill="1" applyBorder="1" applyAlignment="1" applyProtection="1">
      <alignment horizontal="center"/>
    </xf>
    <xf numFmtId="3" fontId="13" fillId="6" borderId="0" xfId="0" applyNumberFormat="1"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9" fillId="2" borderId="0" xfId="0" applyFont="1" applyFill="1" applyAlignment="1">
      <alignment horizontal="center"/>
    </xf>
    <xf numFmtId="0" fontId="20" fillId="2" borderId="0" xfId="0" applyFont="1" applyFill="1" applyAlignment="1">
      <alignment horizontal="center"/>
    </xf>
    <xf numFmtId="0" fontId="13" fillId="2" borderId="0" xfId="0" applyFont="1" applyFill="1" applyBorder="1" applyAlignment="1">
      <alignment horizontal="center"/>
    </xf>
    <xf numFmtId="0" fontId="15" fillId="5" borderId="33" xfId="0" applyFont="1" applyFill="1" applyBorder="1" applyAlignment="1" applyProtection="1">
      <alignment horizontal="center"/>
    </xf>
    <xf numFmtId="0" fontId="15" fillId="5" borderId="3" xfId="0" applyFont="1" applyFill="1" applyBorder="1" applyAlignment="1" applyProtection="1">
      <alignment horizontal="center"/>
    </xf>
    <xf numFmtId="0" fontId="15" fillId="5" borderId="25" xfId="0" applyFont="1" applyFill="1" applyBorder="1" applyAlignment="1" applyProtection="1">
      <alignment horizontal="center"/>
    </xf>
    <xf numFmtId="0" fontId="14" fillId="5" borderId="2" xfId="0" applyFont="1" applyFill="1" applyBorder="1" applyAlignment="1" applyProtection="1">
      <alignment horizontal="center"/>
    </xf>
    <xf numFmtId="0" fontId="14" fillId="5" borderId="0" xfId="0" applyFont="1" applyFill="1" applyBorder="1" applyAlignment="1" applyProtection="1">
      <alignment horizontal="center"/>
    </xf>
    <xf numFmtId="0" fontId="14" fillId="5" borderId="32" xfId="0" applyFont="1" applyFill="1" applyBorder="1" applyAlignment="1" applyProtection="1">
      <alignment horizontal="center"/>
    </xf>
    <xf numFmtId="0" fontId="14" fillId="5" borderId="33" xfId="0" applyFont="1" applyFill="1" applyBorder="1" applyAlignment="1" applyProtection="1">
      <alignment horizontal="center"/>
    </xf>
    <xf numFmtId="0" fontId="14" fillId="5" borderId="3" xfId="0" applyFont="1" applyFill="1" applyBorder="1" applyAlignment="1" applyProtection="1">
      <alignment horizontal="center"/>
    </xf>
    <xf numFmtId="0" fontId="14" fillId="5" borderId="25" xfId="0" applyFont="1" applyFill="1" applyBorder="1" applyAlignment="1" applyProtection="1">
      <alignment horizontal="center"/>
    </xf>
    <xf numFmtId="0" fontId="15" fillId="5" borderId="34" xfId="0" applyFont="1" applyFill="1" applyBorder="1" applyAlignment="1" applyProtection="1">
      <alignment horizontal="center"/>
    </xf>
    <xf numFmtId="0" fontId="15" fillId="5" borderId="29" xfId="0" applyFont="1" applyFill="1" applyBorder="1" applyAlignment="1" applyProtection="1">
      <alignment horizontal="center"/>
    </xf>
    <xf numFmtId="0" fontId="15" fillId="5" borderId="35" xfId="0" applyFont="1" applyFill="1" applyBorder="1" applyAlignment="1" applyProtection="1">
      <alignment horizontal="center"/>
    </xf>
    <xf numFmtId="0" fontId="13" fillId="2" borderId="0" xfId="0" applyFont="1" applyFill="1" applyBorder="1" applyAlignment="1">
      <alignment horizontal="left"/>
    </xf>
    <xf numFmtId="0" fontId="13" fillId="2" borderId="0" xfId="0" applyFont="1" applyFill="1" applyAlignment="1">
      <alignment horizontal="left"/>
    </xf>
    <xf numFmtId="0" fontId="42" fillId="2" borderId="0" xfId="0" applyFont="1" applyFill="1" applyAlignment="1">
      <alignment horizontal="center"/>
    </xf>
    <xf numFmtId="0" fontId="23" fillId="2" borderId="0" xfId="0" applyFont="1" applyFill="1" applyAlignment="1">
      <alignment horizontal="center"/>
    </xf>
    <xf numFmtId="0" fontId="13" fillId="2" borderId="30" xfId="0" applyFont="1" applyFill="1" applyBorder="1" applyAlignment="1">
      <alignment horizontal="center"/>
    </xf>
    <xf numFmtId="0" fontId="13" fillId="2" borderId="1" xfId="0" applyFont="1" applyFill="1" applyBorder="1" applyAlignment="1">
      <alignment horizontal="center"/>
    </xf>
    <xf numFmtId="0" fontId="13" fillId="2" borderId="3" xfId="0" applyFont="1" applyFill="1" applyBorder="1" applyAlignment="1">
      <alignment horizontal="center"/>
    </xf>
    <xf numFmtId="165" fontId="13" fillId="6" borderId="0" xfId="0" applyNumberFormat="1" applyFont="1" applyFill="1" applyBorder="1" applyAlignment="1" applyProtection="1">
      <alignment horizontal="center" vertical="center" wrapText="1"/>
    </xf>
    <xf numFmtId="165" fontId="13" fillId="6" borderId="3" xfId="0" applyNumberFormat="1" applyFont="1" applyFill="1" applyBorder="1" applyAlignment="1" applyProtection="1">
      <alignment horizontal="center" vertical="center" wrapText="1"/>
    </xf>
    <xf numFmtId="10" fontId="14" fillId="6" borderId="0" xfId="3" applyNumberFormat="1" applyFont="1" applyFill="1" applyBorder="1" applyAlignment="1" applyProtection="1">
      <alignment horizontal="left" vertical="top" wrapText="1"/>
    </xf>
    <xf numFmtId="0" fontId="18" fillId="2" borderId="0" xfId="0" applyFont="1" applyFill="1" applyAlignment="1">
      <alignment horizontal="center"/>
    </xf>
    <xf numFmtId="0" fontId="28" fillId="2" borderId="0" xfId="0" applyFont="1" applyFill="1" applyAlignment="1">
      <alignment horizontal="right"/>
    </xf>
    <xf numFmtId="0" fontId="11" fillId="2" borderId="0" xfId="0" applyFont="1" applyFill="1" applyAlignment="1">
      <alignment horizontal="center"/>
    </xf>
    <xf numFmtId="0" fontId="15" fillId="2" borderId="0" xfId="0" applyFont="1" applyFill="1" applyAlignment="1">
      <alignment horizontal="center"/>
    </xf>
    <xf numFmtId="0" fontId="18" fillId="2" borderId="5" xfId="0" applyFont="1" applyFill="1" applyBorder="1" applyAlignment="1">
      <alignment horizontal="center"/>
    </xf>
    <xf numFmtId="0" fontId="25" fillId="2" borderId="0" xfId="0" applyFont="1" applyFill="1" applyAlignment="1">
      <alignment horizontal="right"/>
    </xf>
    <xf numFmtId="0" fontId="23" fillId="2" borderId="0" xfId="0" applyFont="1" applyFill="1" applyBorder="1" applyAlignment="1">
      <alignment horizontal="center"/>
    </xf>
    <xf numFmtId="0" fontId="11" fillId="2" borderId="0" xfId="0" applyFont="1" applyFill="1" applyBorder="1" applyAlignment="1">
      <alignment horizontal="center"/>
    </xf>
    <xf numFmtId="3" fontId="15" fillId="6"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center" vertical="center" wrapText="1"/>
    </xf>
    <xf numFmtId="165" fontId="15" fillId="6" borderId="0" xfId="0" applyNumberFormat="1" applyFont="1" applyFill="1" applyBorder="1" applyAlignment="1" applyProtection="1">
      <alignment horizontal="center" vertical="center" wrapText="1"/>
    </xf>
    <xf numFmtId="165" fontId="15" fillId="6" borderId="3" xfId="0" applyNumberFormat="1" applyFont="1" applyFill="1" applyBorder="1" applyAlignment="1" applyProtection="1">
      <alignment horizontal="center" vertical="center" wrapText="1"/>
    </xf>
    <xf numFmtId="0" fontId="23" fillId="2" borderId="0" xfId="0" applyFont="1" applyFill="1" applyAlignment="1" applyProtection="1">
      <alignment horizontal="left" wrapText="1"/>
    </xf>
    <xf numFmtId="0" fontId="15" fillId="2" borderId="0" xfId="2" applyFont="1" applyFill="1" applyAlignment="1">
      <alignment horizontal="center"/>
    </xf>
    <xf numFmtId="0" fontId="13" fillId="2" borderId="16" xfId="0" quotePrefix="1" applyFont="1" applyFill="1" applyBorder="1" applyAlignment="1">
      <alignment horizontal="center"/>
    </xf>
    <xf numFmtId="0" fontId="13" fillId="2" borderId="16" xfId="0" applyFont="1" applyFill="1" applyBorder="1" applyAlignment="1">
      <alignment horizontal="center"/>
    </xf>
    <xf numFmtId="0" fontId="13" fillId="2" borderId="17" xfId="0" applyFont="1" applyFill="1" applyBorder="1" applyAlignment="1">
      <alignment horizontal="center"/>
    </xf>
    <xf numFmtId="170" fontId="15" fillId="2" borderId="0" xfId="0" applyNumberFormat="1" applyFont="1" applyFill="1" applyAlignment="1" applyProtection="1">
      <alignment horizontal="center"/>
    </xf>
    <xf numFmtId="0" fontId="29" fillId="2" borderId="0" xfId="0" applyFont="1" applyFill="1" applyAlignment="1">
      <alignment horizontal="center"/>
    </xf>
    <xf numFmtId="0" fontId="25" fillId="2" borderId="0" xfId="0" applyFont="1" applyFill="1" applyAlignment="1">
      <alignment horizontal="center"/>
    </xf>
    <xf numFmtId="0" fontId="15" fillId="6" borderId="0" xfId="0" applyFont="1" applyFill="1" applyAlignment="1">
      <alignment horizontal="left" vertical="top" wrapText="1"/>
    </xf>
    <xf numFmtId="0" fontId="15" fillId="6" borderId="0" xfId="0" applyFont="1" applyFill="1" applyAlignment="1">
      <alignment horizontal="left" wrapText="1"/>
    </xf>
    <xf numFmtId="0" fontId="46" fillId="0" borderId="0" xfId="0" applyFont="1" applyAlignment="1">
      <alignment horizontal="left" vertical="center" wrapText="1"/>
    </xf>
    <xf numFmtId="0" fontId="11" fillId="2" borderId="0" xfId="0" applyFont="1" applyFill="1" applyAlignment="1" applyProtection="1">
      <alignment horizontal="center"/>
    </xf>
    <xf numFmtId="0" fontId="23" fillId="2" borderId="0" xfId="0" applyFont="1" applyFill="1" applyAlignment="1" applyProtection="1">
      <alignment horizontal="center"/>
    </xf>
    <xf numFmtId="0" fontId="13" fillId="2" borderId="30" xfId="0" applyFont="1" applyFill="1" applyBorder="1" applyAlignment="1" applyProtection="1">
      <alignment horizontal="center"/>
    </xf>
    <xf numFmtId="0" fontId="13" fillId="2" borderId="1"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3" xfId="0" applyFont="1" applyFill="1" applyBorder="1" applyAlignment="1" applyProtection="1">
      <alignment horizontal="center"/>
    </xf>
    <xf numFmtId="0" fontId="13" fillId="2" borderId="0" xfId="0" applyFont="1" applyFill="1" applyBorder="1" applyAlignment="1" applyProtection="1">
      <alignment horizontal="left"/>
    </xf>
    <xf numFmtId="0" fontId="13" fillId="2" borderId="0" xfId="0" applyFont="1" applyFill="1" applyAlignment="1" applyProtection="1">
      <alignment horizontal="left"/>
    </xf>
    <xf numFmtId="0" fontId="13" fillId="2" borderId="5" xfId="0" applyFont="1" applyFill="1" applyBorder="1" applyAlignment="1" applyProtection="1">
      <alignment horizontal="center"/>
    </xf>
    <xf numFmtId="0" fontId="13" fillId="2" borderId="0" xfId="0" applyFont="1" applyFill="1" applyAlignment="1" applyProtection="1">
      <alignment horizontal="right"/>
    </xf>
    <xf numFmtId="0" fontId="19" fillId="2" borderId="0" xfId="0" applyFont="1" applyFill="1" applyAlignment="1" applyProtection="1">
      <alignment horizontal="center"/>
    </xf>
    <xf numFmtId="0" fontId="20" fillId="2" borderId="0" xfId="0" applyFont="1" applyFill="1" applyAlignment="1" applyProtection="1">
      <alignment horizontal="center"/>
    </xf>
    <xf numFmtId="0" fontId="7" fillId="2" borderId="0" xfId="0" applyFont="1" applyFill="1" applyAlignment="1">
      <alignment horizontal="center"/>
    </xf>
    <xf numFmtId="0" fontId="4" fillId="2" borderId="0" xfId="0" applyFont="1" applyFill="1" applyAlignment="1">
      <alignment horizontal="center"/>
    </xf>
  </cellXfs>
  <cellStyles count="56">
    <cellStyle name="20% - Accent1" xfId="21" builtinId="30" customBuiltin="1"/>
    <cellStyle name="20% - Accent2" xfId="24" builtinId="34" customBuiltin="1"/>
    <cellStyle name="20% - Accent3" xfId="27" builtinId="38" customBuiltin="1"/>
    <cellStyle name="20% - Accent4" xfId="30" builtinId="42" customBuiltin="1"/>
    <cellStyle name="20% - Accent5" xfId="33" builtinId="46" customBuiltin="1"/>
    <cellStyle name="20% - Accent6" xfId="36" builtinId="50" customBuiltin="1"/>
    <cellStyle name="40% - Accent1" xfId="22" builtinId="31" customBuiltin="1"/>
    <cellStyle name="40% - Accent2" xfId="25" builtinId="35" customBuiltin="1"/>
    <cellStyle name="40% - Accent3" xfId="28" builtinId="39" customBuiltin="1"/>
    <cellStyle name="40% - Accent4" xfId="31" builtinId="43" customBuiltin="1"/>
    <cellStyle name="40% - Accent5" xfId="34" builtinId="47" customBuiltin="1"/>
    <cellStyle name="40% - Accent6" xfId="37" builtinId="51" customBuiltin="1"/>
    <cellStyle name="60% - Accent1 2" xfId="43" xr:uid="{115432D4-5960-4206-A7A8-0E208DC84557}"/>
    <cellStyle name="60% - Accent2 2" xfId="44" xr:uid="{EB4B3EBD-8526-4238-B1AB-52B6418CAC2E}"/>
    <cellStyle name="60% - Accent3 2" xfId="45" xr:uid="{F0C47FCB-743A-4C94-A061-A9817D9119AE}"/>
    <cellStyle name="60% - Accent4 2" xfId="46" xr:uid="{F3B34273-6782-4023-B0EC-049E8F9EF10F}"/>
    <cellStyle name="60% - Accent5 2" xfId="47" xr:uid="{185A16EE-C618-4AD3-8874-720C4C73B6B5}"/>
    <cellStyle name="60% - Accent6 2" xfId="48" xr:uid="{83DBA967-D901-4973-911B-014E1ADAE699}"/>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2" xfId="53" xr:uid="{7A6DA587-EDE1-46A5-AC49-D3E7B2663E9A}"/>
    <cellStyle name="Comma 3" xfId="39" xr:uid="{77990118-583B-4DBF-A99A-1CEC45D72F7A}"/>
    <cellStyle name="Currency" xfId="4" builtinId="4"/>
    <cellStyle name="Currency 2" xfId="50" xr:uid="{91B58C01-1D02-443E-90E5-79F54B12B90E}"/>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1" builtinId="8"/>
    <cellStyle name="Input" xfId="12" builtinId="20" customBuiltin="1"/>
    <cellStyle name="Linked Cell" xfId="15" builtinId="24" customBuiltin="1"/>
    <cellStyle name="Neutral 2" xfId="42" xr:uid="{4F4348BE-2350-4D1F-A5F8-D4B801F8B7A0}"/>
    <cellStyle name="Normal" xfId="0" builtinId="0"/>
    <cellStyle name="Normal 2" xfId="5" xr:uid="{00000000-0005-0000-0000-000003000000}"/>
    <cellStyle name="Normal 2 2" xfId="51" xr:uid="{6F01CE36-7495-427E-97C3-E10F752ECD1B}"/>
    <cellStyle name="Normal 3" xfId="49" xr:uid="{DE03ACFE-2249-4174-96A6-D1B3D7AD49C9}"/>
    <cellStyle name="Normal 3 2" xfId="55" xr:uid="{2B49C9EA-3E89-4392-BD57-70BC7C86F3DE}"/>
    <cellStyle name="Normal 4" xfId="38" xr:uid="{05EB6F06-AE6B-4BBA-A18E-EC2413FDAA2A}"/>
    <cellStyle name="Normal_One-Year Questionnaire" xfId="2" xr:uid="{00000000-0005-0000-0000-000004000000}"/>
    <cellStyle name="Note 2" xfId="52" xr:uid="{735F802A-D81F-4BC2-AFB8-08175FF290CB}"/>
    <cellStyle name="Output" xfId="13" builtinId="21" customBuiltin="1"/>
    <cellStyle name="Percent" xfId="3" builtinId="5"/>
    <cellStyle name="Percent 2" xfId="54" xr:uid="{702AD75C-1539-48A8-A52A-37444C047C8E}"/>
    <cellStyle name="Percent 3" xfId="40" xr:uid="{CFADE947-ED7A-4F57-8D9B-F280FEF3C894}"/>
    <cellStyle name="Title 2" xfId="41" xr:uid="{5E9D9712-86D9-402A-B2F0-E2D4DE1698F0}"/>
    <cellStyle name="Total" xfId="19" builtinId="25" customBuiltin="1"/>
    <cellStyle name="Warning Text" xfId="17" builtinId="11" customBuiltin="1"/>
  </cellStyles>
  <dxfs count="0"/>
  <tableStyles count="0" defaultTableStyle="TableStyleMedium9" defaultPivotStyle="PivotStyleLight16"/>
  <colors>
    <mruColors>
      <color rgb="FF00FF00"/>
      <color rgb="FF99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1"/>
    <pageSetUpPr fitToPage="1"/>
  </sheetPr>
  <dimension ref="A1:J84"/>
  <sheetViews>
    <sheetView tabSelected="1" zoomScaleNormal="100" zoomScaleSheetLayoutView="100" workbookViewId="0">
      <selection activeCell="C34" sqref="C34"/>
    </sheetView>
  </sheetViews>
  <sheetFormatPr defaultColWidth="9.1796875" defaultRowHeight="12" x14ac:dyDescent="0.3"/>
  <cols>
    <col min="1" max="6" width="22.7265625" style="60" customWidth="1"/>
    <col min="7" max="8" width="16.7265625" style="60" customWidth="1"/>
    <col min="9" max="11" width="13.7265625" style="60" customWidth="1"/>
    <col min="12" max="16384" width="9.1796875" style="60"/>
  </cols>
  <sheetData>
    <row r="1" spans="1:10" ht="12" customHeight="1" x14ac:dyDescent="0.3">
      <c r="A1" s="409" t="s">
        <v>339</v>
      </c>
      <c r="B1" s="409"/>
      <c r="C1" s="409"/>
      <c r="D1" s="409"/>
      <c r="E1" s="409"/>
      <c r="F1" s="409"/>
      <c r="G1" s="200"/>
      <c r="H1" s="200"/>
      <c r="I1" s="200"/>
      <c r="J1" s="200"/>
    </row>
    <row r="2" spans="1:10" ht="12" customHeight="1" x14ac:dyDescent="0.3">
      <c r="A2" s="409"/>
      <c r="B2" s="409"/>
      <c r="C2" s="409"/>
      <c r="D2" s="409"/>
      <c r="E2" s="409"/>
      <c r="F2" s="409"/>
      <c r="G2" s="200"/>
      <c r="H2" s="200"/>
      <c r="I2" s="200"/>
      <c r="J2" s="200"/>
    </row>
    <row r="3" spans="1:10" ht="12" customHeight="1" x14ac:dyDescent="0.3">
      <c r="A3" s="409"/>
      <c r="B3" s="409"/>
      <c r="C3" s="409"/>
      <c r="D3" s="409"/>
      <c r="E3" s="409"/>
      <c r="F3" s="409"/>
      <c r="G3" s="200"/>
      <c r="H3" s="200"/>
      <c r="I3" s="200"/>
      <c r="J3" s="200"/>
    </row>
    <row r="4" spans="1:10" ht="12" customHeight="1" x14ac:dyDescent="0.3">
      <c r="A4" s="409"/>
      <c r="B4" s="409"/>
      <c r="C4" s="409"/>
      <c r="D4" s="409"/>
      <c r="E4" s="409"/>
      <c r="F4" s="409"/>
      <c r="G4" s="200"/>
      <c r="H4" s="200"/>
      <c r="I4" s="200"/>
      <c r="J4" s="200"/>
    </row>
    <row r="5" spans="1:10" ht="12.75" customHeight="1" x14ac:dyDescent="0.3">
      <c r="A5" s="409"/>
      <c r="B5" s="409"/>
      <c r="C5" s="409"/>
      <c r="D5" s="409"/>
      <c r="E5" s="409"/>
      <c r="F5" s="409"/>
      <c r="G5" s="200"/>
      <c r="H5" s="200"/>
      <c r="I5" s="200"/>
      <c r="J5" s="200"/>
    </row>
    <row r="6" spans="1:10" s="6" customFormat="1" ht="15.5" x14ac:dyDescent="0.35">
      <c r="A6" s="410" t="str">
        <f>"This file, combined with your documented cost of benefit changes, will constitute your FEHB rate proposal for "&amp;year&amp;"."</f>
        <v>This file, combined with your documented cost of benefit changes, will constitute your FEHB rate proposal for 2021.</v>
      </c>
      <c r="B6" s="410"/>
      <c r="C6" s="410"/>
      <c r="D6" s="410"/>
      <c r="E6" s="410"/>
      <c r="F6" s="410"/>
      <c r="G6" s="195"/>
      <c r="H6" s="195"/>
      <c r="I6" s="195"/>
    </row>
    <row r="7" spans="1:10" s="6" customFormat="1" ht="15.5" x14ac:dyDescent="0.35">
      <c r="A7" s="410"/>
      <c r="B7" s="410"/>
      <c r="C7" s="410"/>
      <c r="D7" s="410"/>
      <c r="E7" s="410"/>
      <c r="F7" s="410"/>
      <c r="G7" s="195"/>
      <c r="H7" s="195"/>
      <c r="I7" s="195"/>
    </row>
    <row r="8" spans="1:10" s="6" customFormat="1" ht="15.5" x14ac:dyDescent="0.35">
      <c r="A8" s="410" t="s">
        <v>185</v>
      </c>
      <c r="B8" s="410"/>
      <c r="C8" s="410"/>
      <c r="D8" s="410"/>
      <c r="E8" s="410"/>
      <c r="F8" s="410"/>
      <c r="G8" s="195"/>
      <c r="H8" s="195"/>
      <c r="I8" s="195"/>
    </row>
    <row r="9" spans="1:10" s="6" customFormat="1" ht="13" x14ac:dyDescent="0.3">
      <c r="A9" s="194"/>
      <c r="B9" s="194"/>
      <c r="C9" s="194"/>
      <c r="D9" s="194"/>
      <c r="E9" s="194"/>
      <c r="F9" s="194"/>
      <c r="G9" s="194"/>
    </row>
    <row r="10" spans="1:10" s="6" customFormat="1" ht="21" x14ac:dyDescent="0.5">
      <c r="A10" s="408" t="s">
        <v>153</v>
      </c>
      <c r="B10" s="408"/>
      <c r="C10" s="408"/>
      <c r="D10" s="408"/>
      <c r="E10" s="408"/>
      <c r="F10" s="408"/>
      <c r="G10" s="201"/>
      <c r="H10" s="201"/>
      <c r="I10" s="201"/>
    </row>
    <row r="11" spans="1:10" ht="14.5" x14ac:dyDescent="0.35">
      <c r="A11" s="329"/>
      <c r="B11" s="202"/>
      <c r="C11" s="202"/>
      <c r="D11" s="202"/>
      <c r="E11" s="202"/>
      <c r="F11" s="54"/>
      <c r="G11" s="54"/>
      <c r="H11" s="54"/>
      <c r="I11" s="54"/>
      <c r="J11" s="54"/>
    </row>
    <row r="12" spans="1:10" ht="14.5" x14ac:dyDescent="0.35">
      <c r="A12" s="202" t="s">
        <v>337</v>
      </c>
      <c r="B12" s="202"/>
      <c r="C12" s="202"/>
      <c r="D12" s="202"/>
      <c r="E12" s="202"/>
      <c r="F12" s="54"/>
      <c r="G12" s="54"/>
      <c r="H12" s="54"/>
      <c r="I12" s="54"/>
      <c r="J12" s="54"/>
    </row>
    <row r="13" spans="1:10" ht="14.5" x14ac:dyDescent="0.35">
      <c r="A13" s="202" t="str">
        <f>"After reading the Instructions below, please start with Questions "&amp;'Proposal Questions'!A7&amp;"-"&amp;'Proposal Questions'!A17&amp;" on the 'Proposal Questions' sheet."</f>
        <v>After reading the Instructions below, please start with Questions 1-6 on the 'Proposal Questions' sheet.</v>
      </c>
      <c r="B13" s="202"/>
      <c r="C13" s="202"/>
      <c r="D13" s="202"/>
      <c r="E13" s="202"/>
      <c r="F13" s="54"/>
      <c r="G13" s="54"/>
      <c r="H13" s="54"/>
      <c r="I13" s="54"/>
      <c r="J13" s="54"/>
    </row>
    <row r="14" spans="1:10" ht="14.5" x14ac:dyDescent="0.35">
      <c r="A14" s="202"/>
      <c r="B14" s="202"/>
      <c r="C14" s="202"/>
      <c r="D14" s="202"/>
      <c r="E14" s="202"/>
      <c r="F14" s="54"/>
      <c r="G14" s="54"/>
      <c r="H14" s="54"/>
      <c r="I14" s="54"/>
      <c r="J14" s="54"/>
    </row>
    <row r="15" spans="1:10" ht="14.5" x14ac:dyDescent="0.35">
      <c r="A15" s="330" t="s">
        <v>346</v>
      </c>
      <c r="B15" s="202"/>
      <c r="C15" s="202"/>
      <c r="D15" s="202"/>
      <c r="E15" s="202"/>
      <c r="F15" s="54"/>
      <c r="G15" s="54"/>
      <c r="H15" s="54"/>
      <c r="I15" s="54"/>
      <c r="J15" s="54"/>
    </row>
    <row r="16" spans="1:10" ht="14.5" x14ac:dyDescent="0.35">
      <c r="A16" s="331" t="s">
        <v>353</v>
      </c>
      <c r="B16" s="202"/>
      <c r="C16" s="202"/>
      <c r="D16" s="202"/>
      <c r="E16" s="202"/>
      <c r="F16" s="54"/>
      <c r="G16" s="54"/>
      <c r="H16" s="54"/>
      <c r="I16" s="54"/>
      <c r="J16" s="54"/>
    </row>
    <row r="17" spans="1:10" ht="14.5" x14ac:dyDescent="0.35">
      <c r="A17" s="332" t="str">
        <f>"      Answer Question "&amp;'Proposal Questions'!A27&amp;"-"&amp;'Proposal Questions'!A113&amp;" based on your completed Rate Proposal. Please answer every question."</f>
        <v xml:space="preserve">      Answer Question 7-19 based on your completed Rate Proposal. Please answer every question.</v>
      </c>
      <c r="B17" s="202"/>
      <c r="C17" s="202"/>
      <c r="D17" s="202"/>
      <c r="E17" s="202"/>
      <c r="F17" s="54"/>
      <c r="G17" s="54"/>
      <c r="H17" s="54"/>
      <c r="I17" s="54"/>
      <c r="J17" s="54"/>
    </row>
    <row r="18" spans="1:10" ht="14.5" x14ac:dyDescent="0.35">
      <c r="A18" s="332" t="s">
        <v>354</v>
      </c>
      <c r="B18" s="202"/>
      <c r="C18" s="202"/>
      <c r="D18" s="202"/>
      <c r="E18" s="202"/>
      <c r="F18" s="54"/>
      <c r="G18" s="54"/>
      <c r="H18" s="54"/>
      <c r="I18" s="54"/>
      <c r="J18" s="54"/>
    </row>
    <row r="19" spans="1:10" ht="14.5" x14ac:dyDescent="0.35">
      <c r="A19" s="331"/>
      <c r="B19" s="202"/>
      <c r="C19" s="202"/>
      <c r="D19" s="202"/>
      <c r="E19" s="202"/>
      <c r="F19" s="54"/>
      <c r="G19" s="54"/>
      <c r="H19" s="54"/>
      <c r="I19" s="54"/>
      <c r="J19" s="54"/>
    </row>
    <row r="20" spans="1:10" ht="14.5" x14ac:dyDescent="0.35">
      <c r="A20" s="331" t="s">
        <v>341</v>
      </c>
      <c r="B20" s="202"/>
      <c r="C20" s="202"/>
      <c r="D20" s="202"/>
      <c r="E20" s="202"/>
      <c r="F20" s="54"/>
      <c r="G20" s="54"/>
      <c r="H20" s="54"/>
      <c r="I20" s="54"/>
      <c r="J20" s="54"/>
    </row>
    <row r="21" spans="1:10" ht="14.5" x14ac:dyDescent="0.35">
      <c r="A21" s="332" t="s">
        <v>342</v>
      </c>
      <c r="B21" s="202"/>
      <c r="C21" s="202"/>
      <c r="D21" s="202"/>
      <c r="E21" s="202"/>
      <c r="F21" s="54"/>
      <c r="G21" s="54"/>
      <c r="H21" s="54"/>
      <c r="I21" s="54"/>
      <c r="J21" s="54"/>
    </row>
    <row r="22" spans="1:10" ht="14.5" x14ac:dyDescent="0.35">
      <c r="A22" s="332" t="s">
        <v>343</v>
      </c>
      <c r="B22" s="202"/>
      <c r="C22" s="202"/>
      <c r="D22" s="202"/>
      <c r="E22" s="202"/>
      <c r="F22" s="54"/>
      <c r="G22" s="54"/>
      <c r="H22" s="54"/>
      <c r="I22" s="54"/>
      <c r="J22" s="54"/>
    </row>
    <row r="23" spans="1:10" ht="14.5" x14ac:dyDescent="0.35">
      <c r="A23" s="332" t="str">
        <f>"      If you project that your rates will not achieve this reserve goal as of December 31, "&amp;year&amp;", please"</f>
        <v xml:space="preserve">      If you project that your rates will not achieve this reserve goal as of December 31, 2021, please</v>
      </c>
      <c r="B23" s="202"/>
      <c r="C23" s="202"/>
      <c r="D23" s="202"/>
      <c r="E23" s="202"/>
      <c r="F23" s="54"/>
      <c r="G23" s="54"/>
      <c r="H23" s="54"/>
      <c r="I23" s="54"/>
      <c r="J23" s="54"/>
    </row>
    <row r="24" spans="1:10" ht="14.5" x14ac:dyDescent="0.35">
      <c r="A24" s="332" t="s">
        <v>362</v>
      </c>
      <c r="B24" s="202"/>
      <c r="C24" s="202"/>
      <c r="D24" s="202"/>
      <c r="E24" s="202"/>
      <c r="F24" s="54"/>
      <c r="G24" s="54"/>
      <c r="H24" s="54"/>
      <c r="I24" s="54"/>
      <c r="J24" s="54"/>
    </row>
    <row r="25" spans="1:10" ht="14.5" x14ac:dyDescent="0.35">
      <c r="A25" s="332" t="str">
        <f>"      of three months in Question "&amp;'Proposal Questions'!A113&amp;" in the 'Proposal Questions' sheet."</f>
        <v xml:space="preserve">      of three months in Question 19 in the 'Proposal Questions' sheet.</v>
      </c>
      <c r="B25" s="202"/>
      <c r="C25" s="202"/>
      <c r="D25" s="202"/>
      <c r="E25" s="202"/>
      <c r="F25" s="54"/>
      <c r="G25" s="54"/>
      <c r="H25" s="54"/>
      <c r="I25" s="54"/>
      <c r="J25" s="54"/>
    </row>
    <row r="26" spans="1:10" ht="14.5" x14ac:dyDescent="0.35">
      <c r="A26" s="332"/>
      <c r="B26" s="202"/>
      <c r="C26" s="202"/>
      <c r="D26" s="202"/>
      <c r="E26" s="202"/>
      <c r="F26" s="54"/>
      <c r="G26" s="54"/>
      <c r="H26" s="54"/>
      <c r="I26" s="54"/>
      <c r="J26" s="54"/>
    </row>
    <row r="27" spans="1:10" ht="14.5" x14ac:dyDescent="0.35">
      <c r="A27" s="332" t="s">
        <v>344</v>
      </c>
      <c r="B27" s="207"/>
      <c r="C27" s="207"/>
      <c r="D27" s="202"/>
      <c r="E27" s="202"/>
      <c r="F27" s="54"/>
      <c r="G27" s="54"/>
      <c r="H27" s="54"/>
      <c r="I27" s="54"/>
      <c r="J27" s="54"/>
    </row>
    <row r="28" spans="1:10" ht="14.5" x14ac:dyDescent="0.35">
      <c r="A28" s="332" t="s">
        <v>345</v>
      </c>
      <c r="B28" s="202"/>
      <c r="C28" s="202"/>
      <c r="D28" s="202"/>
      <c r="E28" s="202"/>
      <c r="F28" s="54"/>
      <c r="G28" s="54"/>
      <c r="H28" s="54"/>
      <c r="I28" s="54"/>
      <c r="J28" s="54"/>
    </row>
    <row r="29" spans="1:10" ht="14.5" x14ac:dyDescent="0.35">
      <c r="A29" s="333"/>
      <c r="B29" s="202"/>
      <c r="C29" s="202"/>
      <c r="D29" s="202"/>
      <c r="E29" s="202"/>
      <c r="F29" s="54"/>
      <c r="G29" s="54"/>
      <c r="H29" s="54"/>
      <c r="I29" s="54"/>
      <c r="J29" s="54"/>
    </row>
    <row r="30" spans="1:10" ht="14.5" x14ac:dyDescent="0.35">
      <c r="A30" s="331" t="s">
        <v>363</v>
      </c>
      <c r="B30" s="202"/>
      <c r="C30" s="202"/>
      <c r="D30" s="202"/>
      <c r="E30" s="202"/>
      <c r="F30" s="54"/>
      <c r="G30" s="54"/>
      <c r="H30" s="54"/>
      <c r="I30" s="54"/>
      <c r="J30" s="54"/>
    </row>
    <row r="31" spans="1:10" ht="14.5" x14ac:dyDescent="0.35">
      <c r="A31" s="332" t="str">
        <f>"      this workbook). Health benefit charges paid should include all services, including capitation if applicable. "</f>
        <v xml:space="preserve">      this workbook). Health benefit charges paid should include all services, including capitation if applicable. </v>
      </c>
      <c r="B31" s="202"/>
      <c r="C31" s="202"/>
      <c r="D31" s="202"/>
      <c r="E31" s="202"/>
      <c r="F31" s="54"/>
      <c r="G31" s="54"/>
      <c r="H31" s="54"/>
      <c r="I31" s="54"/>
      <c r="J31" s="54"/>
    </row>
    <row r="32" spans="1:10" ht="14.5" x14ac:dyDescent="0.35">
      <c r="A32" s="332"/>
      <c r="B32" s="202"/>
      <c r="C32" s="202"/>
      <c r="D32" s="202"/>
      <c r="E32" s="202"/>
      <c r="F32" s="54"/>
      <c r="G32" s="54"/>
      <c r="H32" s="54"/>
      <c r="I32" s="54"/>
      <c r="J32" s="54"/>
    </row>
    <row r="33" spans="1:10" ht="14.5" x14ac:dyDescent="0.35">
      <c r="A33" s="331" t="s">
        <v>387</v>
      </c>
      <c r="B33" s="202"/>
      <c r="C33" s="202"/>
      <c r="D33" s="202"/>
      <c r="E33" s="202"/>
      <c r="F33" s="54"/>
      <c r="G33" s="54"/>
      <c r="H33" s="54"/>
      <c r="I33" s="54"/>
      <c r="J33" s="54"/>
    </row>
    <row r="34" spans="1:10" s="74" customFormat="1" ht="14.5" x14ac:dyDescent="0.35">
      <c r="A34" s="332"/>
      <c r="B34" s="207"/>
      <c r="C34" s="207"/>
      <c r="D34" s="207"/>
      <c r="E34" s="207"/>
      <c r="F34" s="32"/>
      <c r="G34" s="32"/>
      <c r="H34" s="32"/>
      <c r="I34" s="32"/>
      <c r="J34" s="32"/>
    </row>
    <row r="35" spans="1:10" s="74" customFormat="1" ht="14.5" x14ac:dyDescent="0.35">
      <c r="A35" s="330" t="s">
        <v>351</v>
      </c>
      <c r="B35" s="207"/>
      <c r="C35" s="207"/>
      <c r="D35" s="207"/>
      <c r="E35" s="207"/>
      <c r="F35" s="32"/>
      <c r="G35" s="32"/>
      <c r="H35" s="32"/>
      <c r="I35" s="32"/>
      <c r="J35" s="32"/>
    </row>
    <row r="36" spans="1:10" s="74" customFormat="1" ht="14.5" x14ac:dyDescent="0.35">
      <c r="A36" s="202" t="s">
        <v>347</v>
      </c>
      <c r="B36" s="207"/>
      <c r="C36" s="207"/>
      <c r="D36" s="207"/>
      <c r="E36" s="207"/>
      <c r="F36" s="32"/>
      <c r="G36" s="32"/>
      <c r="H36" s="32"/>
      <c r="I36" s="32"/>
      <c r="J36" s="32"/>
    </row>
    <row r="37" spans="1:10" s="74" customFormat="1" ht="14.5" x14ac:dyDescent="0.35">
      <c r="A37" s="202" t="s">
        <v>348</v>
      </c>
      <c r="B37" s="207"/>
      <c r="C37" s="207"/>
      <c r="D37" s="207"/>
      <c r="E37" s="207"/>
      <c r="F37" s="32"/>
      <c r="G37" s="32"/>
      <c r="H37" s="32"/>
      <c r="I37" s="32"/>
      <c r="J37" s="32"/>
    </row>
    <row r="38" spans="1:10" s="74" customFormat="1" ht="14.5" x14ac:dyDescent="0.35">
      <c r="A38" s="202" t="s">
        <v>349</v>
      </c>
      <c r="B38" s="207"/>
      <c r="C38" s="207"/>
      <c r="D38" s="207"/>
      <c r="E38" s="207"/>
      <c r="F38" s="32"/>
      <c r="G38" s="32"/>
      <c r="H38" s="32"/>
      <c r="I38" s="32"/>
      <c r="J38" s="32"/>
    </row>
    <row r="39" spans="1:10" s="74" customFormat="1" ht="14.5" x14ac:dyDescent="0.35">
      <c r="A39" s="202" t="s">
        <v>350</v>
      </c>
      <c r="B39" s="207"/>
      <c r="C39" s="207"/>
      <c r="D39" s="207"/>
      <c r="E39" s="207"/>
      <c r="F39" s="32"/>
      <c r="G39" s="32"/>
      <c r="H39" s="32"/>
      <c r="I39" s="32"/>
      <c r="J39" s="32"/>
    </row>
    <row r="40" spans="1:10" s="74" customFormat="1" ht="14.5" x14ac:dyDescent="0.35">
      <c r="A40" s="202"/>
      <c r="B40" s="207"/>
      <c r="C40" s="207"/>
      <c r="D40" s="207"/>
      <c r="E40" s="207"/>
      <c r="F40" s="32"/>
      <c r="G40" s="32"/>
      <c r="H40" s="32"/>
      <c r="I40" s="32"/>
      <c r="J40" s="32"/>
    </row>
    <row r="41" spans="1:10" s="74" customFormat="1" ht="14.5" x14ac:dyDescent="0.35">
      <c r="A41" s="202" t="s">
        <v>194</v>
      </c>
      <c r="B41" s="207"/>
      <c r="C41" s="207"/>
      <c r="D41" s="207"/>
      <c r="E41" s="207"/>
      <c r="F41" s="32"/>
      <c r="G41" s="32"/>
      <c r="H41" s="32"/>
      <c r="I41" s="32"/>
      <c r="J41" s="32"/>
    </row>
    <row r="42" spans="1:10" s="74" customFormat="1" ht="14.5" x14ac:dyDescent="0.35">
      <c r="A42" s="202"/>
      <c r="B42" s="207"/>
      <c r="C42" s="207"/>
      <c r="D42" s="207"/>
      <c r="E42" s="207"/>
      <c r="F42" s="32"/>
      <c r="G42" s="32"/>
      <c r="H42" s="32"/>
      <c r="I42" s="32"/>
      <c r="J42" s="32"/>
    </row>
    <row r="43" spans="1:10" s="74" customFormat="1" ht="14.5" x14ac:dyDescent="0.35">
      <c r="A43" s="54"/>
      <c r="B43" s="328"/>
      <c r="C43" s="328"/>
      <c r="D43" s="328"/>
      <c r="E43" s="328"/>
      <c r="F43" s="32"/>
      <c r="G43" s="32"/>
      <c r="H43" s="32"/>
      <c r="I43" s="32"/>
      <c r="J43" s="32"/>
    </row>
    <row r="44" spans="1:10" s="74" customFormat="1" ht="14.5" x14ac:dyDescent="0.35">
      <c r="A44" s="54"/>
      <c r="B44" s="32"/>
      <c r="C44" s="32"/>
      <c r="D44" s="32"/>
      <c r="E44" s="32"/>
      <c r="F44" s="32"/>
      <c r="G44" s="32"/>
      <c r="H44" s="32"/>
      <c r="I44" s="32"/>
      <c r="J44" s="32"/>
    </row>
    <row r="45" spans="1:10" s="74" customFormat="1" ht="14.5" x14ac:dyDescent="0.35">
      <c r="A45" s="54"/>
      <c r="B45" s="32"/>
      <c r="C45" s="32"/>
      <c r="D45" s="32"/>
      <c r="E45" s="32"/>
      <c r="F45" s="32"/>
      <c r="G45" s="32"/>
      <c r="H45" s="32"/>
      <c r="I45" s="32"/>
      <c r="J45" s="32"/>
    </row>
    <row r="46" spans="1:10" s="74" customFormat="1" ht="14.5" x14ac:dyDescent="0.35">
      <c r="A46" s="54"/>
      <c r="B46" s="32"/>
      <c r="C46" s="32"/>
      <c r="D46" s="196"/>
      <c r="E46" s="32"/>
      <c r="F46" s="32"/>
      <c r="G46" s="32"/>
      <c r="H46" s="32"/>
      <c r="I46" s="32"/>
      <c r="J46" s="32"/>
    </row>
    <row r="47" spans="1:10" s="74" customFormat="1" ht="14.5" x14ac:dyDescent="0.35">
      <c r="A47" s="54"/>
      <c r="B47" s="32"/>
      <c r="C47" s="32"/>
      <c r="D47" s="198"/>
      <c r="E47" s="32"/>
      <c r="F47" s="32"/>
      <c r="G47" s="32"/>
      <c r="H47" s="32"/>
      <c r="I47" s="32"/>
      <c r="J47" s="32"/>
    </row>
    <row r="48" spans="1:10" s="74" customFormat="1" ht="14.5" x14ac:dyDescent="0.35">
      <c r="A48" s="54"/>
      <c r="B48" s="32"/>
      <c r="C48" s="32"/>
      <c r="D48" s="32"/>
      <c r="E48" s="32"/>
      <c r="F48" s="32"/>
      <c r="G48" s="32"/>
      <c r="H48" s="32"/>
      <c r="I48" s="32"/>
      <c r="J48" s="32"/>
    </row>
    <row r="49" spans="1:10" s="74" customFormat="1" ht="14.5" x14ac:dyDescent="0.35">
      <c r="A49" s="54"/>
      <c r="B49" s="32"/>
      <c r="C49" s="32"/>
      <c r="D49" s="32"/>
      <c r="E49" s="32"/>
      <c r="F49" s="32"/>
      <c r="G49" s="196"/>
      <c r="H49" s="32"/>
      <c r="I49" s="32"/>
      <c r="J49" s="32"/>
    </row>
    <row r="50" spans="1:10" s="74" customFormat="1" ht="14.5" x14ac:dyDescent="0.35">
      <c r="A50" s="54"/>
      <c r="B50" s="32"/>
      <c r="C50" s="32"/>
      <c r="D50" s="32"/>
      <c r="E50" s="32"/>
      <c r="F50" s="32"/>
      <c r="G50" s="199"/>
      <c r="H50" s="32"/>
      <c r="I50" s="32"/>
      <c r="J50" s="32"/>
    </row>
    <row r="51" spans="1:10" s="74" customFormat="1" ht="14.5" x14ac:dyDescent="0.35">
      <c r="A51" s="54"/>
      <c r="B51" s="32"/>
      <c r="C51" s="32"/>
      <c r="D51" s="32"/>
      <c r="E51" s="32"/>
      <c r="F51" s="32"/>
      <c r="G51" s="32"/>
      <c r="H51" s="32"/>
      <c r="I51" s="32"/>
      <c r="J51" s="32"/>
    </row>
    <row r="52" spans="1:10" s="74" customFormat="1" ht="14.5" x14ac:dyDescent="0.35">
      <c r="D52" s="32"/>
      <c r="E52" s="32"/>
      <c r="F52" s="32"/>
      <c r="G52" s="32"/>
      <c r="H52" s="32"/>
      <c r="I52" s="32"/>
      <c r="J52" s="32"/>
    </row>
    <row r="53" spans="1:10" ht="14.5" x14ac:dyDescent="0.35">
      <c r="D53" s="54"/>
      <c r="E53" s="54"/>
      <c r="F53" s="54"/>
      <c r="G53" s="54"/>
      <c r="H53" s="54"/>
      <c r="I53" s="54"/>
      <c r="J53" s="54"/>
    </row>
    <row r="54" spans="1:10" ht="14.5" x14ac:dyDescent="0.35">
      <c r="A54" s="54"/>
      <c r="B54" s="54"/>
      <c r="C54" s="54"/>
      <c r="D54" s="54"/>
      <c r="E54" s="54"/>
      <c r="F54" s="54"/>
      <c r="G54" s="54"/>
      <c r="H54" s="54"/>
      <c r="I54" s="54"/>
      <c r="J54" s="54"/>
    </row>
    <row r="55" spans="1:10" ht="14.5" x14ac:dyDescent="0.35">
      <c r="A55" s="54"/>
      <c r="B55" s="54"/>
      <c r="C55" s="54"/>
      <c r="D55" s="54"/>
      <c r="E55" s="54"/>
      <c r="F55" s="54"/>
      <c r="G55" s="54"/>
      <c r="H55" s="54"/>
      <c r="I55" s="54"/>
      <c r="J55" s="54"/>
    </row>
    <row r="56" spans="1:10" ht="14.5" x14ac:dyDescent="0.35">
      <c r="A56" s="54"/>
      <c r="B56" s="54"/>
      <c r="C56" s="54"/>
      <c r="D56" s="54"/>
      <c r="E56" s="54"/>
      <c r="F56" s="54"/>
      <c r="G56" s="54"/>
      <c r="H56" s="54"/>
      <c r="I56" s="54"/>
      <c r="J56" s="54"/>
    </row>
    <row r="57" spans="1:10" ht="14.5" x14ac:dyDescent="0.35">
      <c r="A57" s="54"/>
      <c r="B57" s="54"/>
      <c r="C57" s="54"/>
      <c r="D57" s="54"/>
      <c r="E57" s="54"/>
      <c r="F57" s="54"/>
      <c r="G57" s="54"/>
      <c r="H57" s="54"/>
      <c r="I57" s="54"/>
      <c r="J57" s="54"/>
    </row>
    <row r="58" spans="1:10" ht="14.5" x14ac:dyDescent="0.35">
      <c r="A58" s="54"/>
      <c r="B58" s="54"/>
      <c r="C58" s="54"/>
      <c r="D58" s="54"/>
      <c r="E58" s="54"/>
      <c r="F58" s="54"/>
      <c r="G58" s="54"/>
      <c r="H58" s="54"/>
      <c r="I58" s="54"/>
      <c r="J58" s="54"/>
    </row>
    <row r="59" spans="1:10" ht="14.5" x14ac:dyDescent="0.35">
      <c r="A59" s="54"/>
      <c r="B59" s="54"/>
      <c r="C59" s="54"/>
      <c r="D59" s="54"/>
      <c r="E59" s="54"/>
      <c r="F59" s="54"/>
      <c r="G59" s="54"/>
      <c r="H59" s="54"/>
      <c r="I59" s="54"/>
      <c r="J59" s="54"/>
    </row>
    <row r="60" spans="1:10" ht="14.5" x14ac:dyDescent="0.35">
      <c r="A60" s="197"/>
      <c r="B60" s="54"/>
      <c r="C60" s="54"/>
      <c r="D60" s="54"/>
      <c r="E60" s="54"/>
      <c r="F60" s="54"/>
      <c r="G60" s="54"/>
      <c r="H60" s="54"/>
      <c r="I60" s="54"/>
      <c r="J60" s="54"/>
    </row>
    <row r="61" spans="1:10" ht="14.5" x14ac:dyDescent="0.35">
      <c r="A61" s="54"/>
      <c r="B61" s="54"/>
      <c r="C61" s="54"/>
      <c r="D61" s="54"/>
      <c r="E61" s="54"/>
      <c r="F61" s="54"/>
      <c r="G61" s="54"/>
      <c r="H61" s="54"/>
      <c r="I61" s="54"/>
      <c r="J61" s="54"/>
    </row>
    <row r="62" spans="1:10" ht="14.5" x14ac:dyDescent="0.35">
      <c r="A62" s="54"/>
      <c r="B62" s="54"/>
      <c r="C62" s="54"/>
      <c r="D62" s="54"/>
      <c r="E62" s="54"/>
      <c r="F62" s="54"/>
      <c r="G62" s="54"/>
      <c r="H62" s="54"/>
      <c r="I62" s="54"/>
      <c r="J62" s="54"/>
    </row>
    <row r="63" spans="1:10" ht="14.5" x14ac:dyDescent="0.35">
      <c r="A63" s="54"/>
      <c r="B63" s="54"/>
      <c r="C63" s="54"/>
      <c r="D63" s="54"/>
      <c r="E63" s="54"/>
      <c r="F63" s="102"/>
      <c r="G63" s="54"/>
      <c r="H63" s="54"/>
      <c r="I63" s="54"/>
      <c r="J63" s="54"/>
    </row>
    <row r="64" spans="1:10" ht="14.5" x14ac:dyDescent="0.35">
      <c r="A64" s="54"/>
      <c r="B64" s="54"/>
      <c r="C64" s="116"/>
      <c r="D64" s="54"/>
      <c r="E64" s="54"/>
      <c r="F64" s="54"/>
      <c r="G64" s="54"/>
      <c r="H64" s="54"/>
      <c r="I64" s="54"/>
      <c r="J64" s="54"/>
    </row>
    <row r="65" spans="1:10" ht="14.5" x14ac:dyDescent="0.35">
      <c r="A65" s="54"/>
      <c r="B65" s="54"/>
      <c r="C65" s="54"/>
      <c r="D65" s="54"/>
      <c r="E65" s="54"/>
      <c r="F65" s="54"/>
      <c r="G65" s="54"/>
      <c r="H65" s="54"/>
      <c r="I65" s="54"/>
      <c r="J65" s="54"/>
    </row>
    <row r="66" spans="1:10" ht="14.5" x14ac:dyDescent="0.35">
      <c r="A66" s="54"/>
      <c r="B66" s="54"/>
      <c r="C66" s="54"/>
      <c r="D66" s="54"/>
      <c r="E66" s="54"/>
      <c r="F66" s="54"/>
      <c r="G66" s="54"/>
      <c r="H66" s="54"/>
      <c r="I66" s="54"/>
      <c r="J66" s="54"/>
    </row>
    <row r="67" spans="1:10" ht="14.5" x14ac:dyDescent="0.35">
      <c r="A67" s="54"/>
      <c r="B67" s="54"/>
      <c r="C67" s="54"/>
      <c r="D67" s="54"/>
      <c r="E67" s="54"/>
      <c r="F67" s="54"/>
      <c r="G67" s="54"/>
      <c r="H67" s="54"/>
      <c r="I67" s="54"/>
      <c r="J67" s="54"/>
    </row>
    <row r="68" spans="1:10" ht="14.5" x14ac:dyDescent="0.35">
      <c r="A68" s="54"/>
      <c r="B68" s="54"/>
      <c r="C68" s="54"/>
      <c r="D68" s="54"/>
      <c r="E68" s="54"/>
      <c r="F68" s="54"/>
      <c r="G68" s="54"/>
      <c r="H68" s="54"/>
      <c r="I68" s="54"/>
      <c r="J68" s="54"/>
    </row>
    <row r="69" spans="1:10" ht="14.5" x14ac:dyDescent="0.35">
      <c r="A69" s="102"/>
      <c r="B69" s="54"/>
      <c r="C69" s="54"/>
      <c r="D69" s="54"/>
      <c r="E69" s="54"/>
      <c r="F69" s="54"/>
      <c r="G69" s="54"/>
      <c r="H69" s="54"/>
      <c r="I69" s="54"/>
      <c r="J69" s="54"/>
    </row>
    <row r="70" spans="1:10" ht="14.5" x14ac:dyDescent="0.35">
      <c r="A70" s="54"/>
      <c r="B70" s="54"/>
      <c r="C70" s="54"/>
      <c r="D70" s="54"/>
      <c r="E70" s="54"/>
      <c r="F70" s="54"/>
      <c r="G70" s="54"/>
      <c r="H70" s="54"/>
      <c r="I70" s="54"/>
      <c r="J70" s="54"/>
    </row>
    <row r="71" spans="1:10" ht="14.5" x14ac:dyDescent="0.35">
      <c r="B71" s="54"/>
      <c r="C71" s="54"/>
      <c r="D71" s="54"/>
      <c r="E71" s="54"/>
      <c r="F71" s="54"/>
      <c r="G71" s="54"/>
      <c r="H71" s="54"/>
      <c r="I71" s="54"/>
      <c r="J71" s="54"/>
    </row>
    <row r="72" spans="1:10" ht="14.5" x14ac:dyDescent="0.35">
      <c r="B72" s="54"/>
      <c r="C72" s="54"/>
      <c r="D72" s="54"/>
      <c r="E72" s="54"/>
      <c r="F72" s="54"/>
      <c r="G72" s="54"/>
      <c r="H72" s="54"/>
      <c r="I72" s="54"/>
      <c r="J72" s="54"/>
    </row>
    <row r="73" spans="1:10" ht="14.5" x14ac:dyDescent="0.35">
      <c r="A73" s="54"/>
      <c r="B73" s="54"/>
      <c r="C73" s="54"/>
      <c r="D73" s="54"/>
      <c r="E73" s="54"/>
      <c r="F73" s="54"/>
      <c r="G73" s="54"/>
      <c r="H73" s="54"/>
      <c r="I73" s="54"/>
      <c r="J73" s="54"/>
    </row>
    <row r="74" spans="1:10" ht="14.5" x14ac:dyDescent="0.35">
      <c r="A74" s="54"/>
      <c r="B74" s="54"/>
      <c r="C74" s="54"/>
      <c r="D74" s="54"/>
      <c r="E74" s="54"/>
      <c r="F74" s="54"/>
      <c r="G74" s="54"/>
      <c r="H74" s="54"/>
      <c r="I74" s="54"/>
      <c r="J74" s="54"/>
    </row>
    <row r="75" spans="1:10" ht="14.5" x14ac:dyDescent="0.35">
      <c r="A75" s="54"/>
      <c r="B75" s="54"/>
      <c r="C75" s="54"/>
      <c r="D75" s="54"/>
      <c r="E75" s="54"/>
      <c r="F75" s="54"/>
      <c r="G75" s="54"/>
      <c r="H75" s="54"/>
      <c r="I75" s="54"/>
      <c r="J75" s="54"/>
    </row>
    <row r="76" spans="1:10" ht="14.5" x14ac:dyDescent="0.35">
      <c r="A76" s="54"/>
      <c r="B76" s="54"/>
      <c r="C76" s="54"/>
      <c r="D76" s="54"/>
      <c r="E76" s="54"/>
      <c r="F76" s="54"/>
      <c r="G76" s="54"/>
      <c r="H76" s="54"/>
      <c r="I76" s="54"/>
      <c r="J76" s="54"/>
    </row>
    <row r="77" spans="1:10" ht="14.5" x14ac:dyDescent="0.35">
      <c r="A77" s="54"/>
      <c r="B77" s="54"/>
      <c r="C77" s="54"/>
      <c r="D77" s="54"/>
      <c r="E77" s="54"/>
      <c r="F77" s="54"/>
      <c r="G77" s="54"/>
      <c r="H77" s="54"/>
      <c r="I77" s="54"/>
      <c r="J77" s="54"/>
    </row>
    <row r="78" spans="1:10" ht="14.5" x14ac:dyDescent="0.35">
      <c r="A78" s="54"/>
      <c r="B78" s="54"/>
      <c r="C78" s="54"/>
      <c r="D78" s="54"/>
      <c r="E78" s="54"/>
      <c r="F78" s="54"/>
      <c r="G78" s="54"/>
      <c r="H78" s="54"/>
      <c r="I78" s="54"/>
      <c r="J78" s="54"/>
    </row>
    <row r="79" spans="1:10" ht="14.5" x14ac:dyDescent="0.35">
      <c r="A79" s="54"/>
      <c r="B79" s="54"/>
      <c r="C79" s="54"/>
      <c r="D79" s="54"/>
      <c r="E79" s="54"/>
      <c r="F79" s="54"/>
      <c r="G79" s="54"/>
      <c r="H79" s="54"/>
      <c r="I79" s="54"/>
      <c r="J79" s="54"/>
    </row>
    <row r="80" spans="1:10" ht="14.5" x14ac:dyDescent="0.35">
      <c r="A80" s="197"/>
    </row>
    <row r="81" spans="1:1" ht="14.5" x14ac:dyDescent="0.35">
      <c r="A81" s="54"/>
    </row>
    <row r="82" spans="1:1" ht="14.5" x14ac:dyDescent="0.35">
      <c r="A82" s="54"/>
    </row>
    <row r="83" spans="1:1" ht="14.5" x14ac:dyDescent="0.35">
      <c r="A83" s="54"/>
    </row>
    <row r="84" spans="1:1" ht="14.5" x14ac:dyDescent="0.35">
      <c r="A84" s="54"/>
    </row>
  </sheetData>
  <sheetProtection algorithmName="SHA-512" hashValue="hLqL1XpB4Z5bRE8E43sazXVvn+1IPN6vvDZKhmSZN0YACs6ikPbwyGYyhR0Sv4CbMQ57zwZRtWoBBi7XwRg08A==" saltValue="zxdSiBFfMSiMpMvaOLkRlg==" spinCount="100000" sheet="1" objects="1" scenarios="1" selectLockedCells="1" selectUnlockedCells="1"/>
  <mergeCells count="5">
    <mergeCell ref="A10:F10"/>
    <mergeCell ref="A1:F5"/>
    <mergeCell ref="A6:F6"/>
    <mergeCell ref="A7:F7"/>
    <mergeCell ref="A8:F8"/>
  </mergeCells>
  <phoneticPr fontId="3" type="noConversion"/>
  <pageMargins left="0.75" right="0.75" top="1" bottom="1" header="0.5" footer="0.5"/>
  <pageSetup scale="66" fitToHeight="2" orientation="portrait" r:id="rId1"/>
  <headerFooter alignWithMargins="0">
    <oddFooter>&amp;C&amp;P</oddFooter>
  </headerFooter>
  <colBreaks count="1" manualBreakCount="1">
    <brk id="6" max="8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32"/>
  </sheetPr>
  <dimension ref="A1:I77"/>
  <sheetViews>
    <sheetView zoomScaleNormal="100" workbookViewId="0">
      <selection activeCell="A2" sqref="A2:I2"/>
    </sheetView>
  </sheetViews>
  <sheetFormatPr defaultColWidth="9.1796875" defaultRowHeight="13" x14ac:dyDescent="0.3"/>
  <cols>
    <col min="1" max="6" width="9.1796875" style="6"/>
    <col min="7" max="9" width="20.7265625" style="6" customWidth="1"/>
    <col min="10" max="16384" width="9.1796875" style="6"/>
  </cols>
  <sheetData>
    <row r="1" spans="1:9" ht="18.5" x14ac:dyDescent="0.45">
      <c r="A1" s="479" t="s">
        <v>88</v>
      </c>
      <c r="B1" s="479"/>
      <c r="C1" s="479"/>
      <c r="D1" s="479"/>
      <c r="E1" s="479"/>
      <c r="F1" s="479"/>
      <c r="G1" s="479"/>
      <c r="H1" s="479"/>
      <c r="I1" s="479"/>
    </row>
    <row r="2" spans="1:9" ht="14.5" x14ac:dyDescent="0.35">
      <c r="A2" s="477">
        <f>Plan</f>
        <v>0</v>
      </c>
      <c r="B2" s="477"/>
      <c r="C2" s="477"/>
      <c r="D2" s="477"/>
      <c r="E2" s="477"/>
      <c r="F2" s="477"/>
      <c r="G2" s="477"/>
      <c r="H2" s="477"/>
      <c r="I2" s="477"/>
    </row>
    <row r="3" spans="1:9" ht="14.5" x14ac:dyDescent="0.35">
      <c r="A3" s="477" t="str">
        <f>IF(Option="1, 3, 2", Code&amp;"1, "&amp;Code&amp;"3, "&amp;Code&amp;"2", IF(Option="4, 6, 5", Code&amp;"4, "&amp;Code&amp;"6, "&amp;Code&amp;"5", ""))</f>
        <v/>
      </c>
      <c r="B3" s="477"/>
      <c r="C3" s="477"/>
      <c r="D3" s="477"/>
      <c r="E3" s="477"/>
      <c r="F3" s="477"/>
      <c r="G3" s="477"/>
      <c r="H3" s="477"/>
      <c r="I3" s="477"/>
    </row>
    <row r="4" spans="1:9" ht="15" thickBot="1" x14ac:dyDescent="0.4">
      <c r="A4" s="54"/>
      <c r="B4" s="54"/>
      <c r="C4" s="54"/>
      <c r="D4" s="54"/>
      <c r="E4" s="54"/>
      <c r="F4" s="54"/>
      <c r="G4" s="54"/>
      <c r="H4" s="54"/>
      <c r="I4" s="54"/>
    </row>
    <row r="5" spans="1:9" ht="15" thickBot="1" x14ac:dyDescent="0.4">
      <c r="A5" s="61"/>
      <c r="B5" s="62"/>
      <c r="C5" s="62"/>
      <c r="D5" s="62"/>
      <c r="E5" s="62"/>
      <c r="F5" s="63"/>
      <c r="G5" s="58">
        <f>year-2</f>
        <v>2019</v>
      </c>
      <c r="H5" s="58">
        <f>year-1</f>
        <v>2020</v>
      </c>
      <c r="I5" s="58">
        <f>year</f>
        <v>2021</v>
      </c>
    </row>
    <row r="6" spans="1:9" ht="14.5" x14ac:dyDescent="0.35">
      <c r="A6" s="64" t="s">
        <v>89</v>
      </c>
      <c r="B6" s="65"/>
      <c r="C6" s="65"/>
      <c r="D6" s="65"/>
      <c r="E6" s="65"/>
      <c r="F6" s="66"/>
      <c r="G6" s="123"/>
      <c r="H6" s="123"/>
      <c r="I6" s="123"/>
    </row>
    <row r="7" spans="1:9" ht="14.5" x14ac:dyDescent="0.35">
      <c r="A7" s="64" t="str">
        <f>"       1. Incurred Premium Income"</f>
        <v xml:space="preserve">       1. Incurred Premium Income</v>
      </c>
      <c r="B7" s="65"/>
      <c r="C7" s="65"/>
      <c r="D7" s="65"/>
      <c r="E7" s="65"/>
      <c r="F7" s="66"/>
      <c r="G7" s="122">
        <f>'Rate Proposal - 3 year'!G35</f>
        <v>0</v>
      </c>
      <c r="H7" s="122">
        <f>'Rate Proposal - 3 year'!F238</f>
        <v>0</v>
      </c>
      <c r="I7" s="122">
        <f>'Rate Proposal - 3 year'!F277</f>
        <v>0</v>
      </c>
    </row>
    <row r="8" spans="1:9" ht="14.5" x14ac:dyDescent="0.35">
      <c r="A8" s="64" t="str">
        <f>"       2. Contingency Reserve Payment"</f>
        <v xml:space="preserve">       2. Contingency Reserve Payment</v>
      </c>
      <c r="B8" s="65"/>
      <c r="C8" s="65"/>
      <c r="D8" s="65"/>
      <c r="E8" s="65"/>
      <c r="F8" s="66"/>
      <c r="G8" s="122">
        <f>'Rate Proposal - 3 year'!I18-'Rate Proposal - 3 year'!I20</f>
        <v>0</v>
      </c>
      <c r="H8" s="122">
        <f>'Rate Proposal - 3 year'!F229</f>
        <v>0</v>
      </c>
      <c r="I8" s="122" t="e">
        <f>'Rate Proposal - 3 year'!F268</f>
        <v>#DIV/0!</v>
      </c>
    </row>
    <row r="9" spans="1:9" ht="14.5" x14ac:dyDescent="0.35">
      <c r="A9" s="64" t="str">
        <f>"       3. Interest + Investment Income"</f>
        <v xml:space="preserve">       3. Interest + Investment Income</v>
      </c>
      <c r="B9" s="65"/>
      <c r="C9" s="65"/>
      <c r="D9" s="65"/>
      <c r="E9" s="65"/>
      <c r="F9" s="66"/>
      <c r="G9" s="122">
        <f>'Rate Proposal - 3 year'!I9+'Rate Proposal - 3 year'!I16+'Rate Proposal - 3 year'!I15-'Rate Proposal - 3 year'!I12</f>
        <v>0</v>
      </c>
      <c r="H9" s="122" t="e">
        <f>'Rate Proposal - 3 year'!F248</f>
        <v>#DIV/0!</v>
      </c>
      <c r="I9" s="122" t="e">
        <f>'Rate Proposal - 3 year'!F281</f>
        <v>#DIV/0!</v>
      </c>
    </row>
    <row r="10" spans="1:9" ht="14.5" x14ac:dyDescent="0.35">
      <c r="A10" s="64" t="str">
        <f>"       4. Total"</f>
        <v xml:space="preserve">       4. Total</v>
      </c>
      <c r="B10" s="65"/>
      <c r="C10" s="65"/>
      <c r="D10" s="65"/>
      <c r="E10" s="65"/>
      <c r="F10" s="66"/>
      <c r="G10" s="122">
        <f>SUM(G7:G9)</f>
        <v>0</v>
      </c>
      <c r="H10" s="122" t="e">
        <f>SUM(H7:H9)</f>
        <v>#DIV/0!</v>
      </c>
      <c r="I10" s="122" t="e">
        <f>SUM(I7:I9)</f>
        <v>#DIV/0!</v>
      </c>
    </row>
    <row r="11" spans="1:9" ht="14.5" x14ac:dyDescent="0.35">
      <c r="A11" s="64" t="s">
        <v>90</v>
      </c>
      <c r="B11" s="65"/>
      <c r="C11" s="65"/>
      <c r="D11" s="65"/>
      <c r="E11" s="65"/>
      <c r="F11" s="66"/>
      <c r="G11" s="123"/>
      <c r="H11" s="122"/>
      <c r="I11" s="123"/>
    </row>
    <row r="12" spans="1:9" ht="14.5" x14ac:dyDescent="0.35">
      <c r="A12" s="64" t="str">
        <f>"       1. Incurred Claims"</f>
        <v xml:space="preserve">       1. Incurred Claims</v>
      </c>
      <c r="B12" s="65"/>
      <c r="C12" s="65"/>
      <c r="D12" s="65"/>
      <c r="E12" s="65"/>
      <c r="F12" s="66"/>
      <c r="G12" s="122">
        <f>'Rate Proposal - 3 year'!G156</f>
        <v>0</v>
      </c>
      <c r="H12" s="122" t="e">
        <f>'Rate Proposal - 3 year'!F251</f>
        <v>#DIV/0!</v>
      </c>
      <c r="I12" s="122" t="e">
        <f>'Rate Proposal - 3 year'!G158</f>
        <v>#DIV/0!</v>
      </c>
    </row>
    <row r="13" spans="1:9" ht="14.5" x14ac:dyDescent="0.35">
      <c r="A13" s="64" t="str">
        <f>"       2. Incurred Expenses"</f>
        <v xml:space="preserve">       2. Incurred Expenses</v>
      </c>
      <c r="B13" s="65"/>
      <c r="C13" s="65"/>
      <c r="D13" s="65"/>
      <c r="E13" s="65"/>
      <c r="F13" s="66"/>
      <c r="G13" s="122" t="e">
        <f>'Rate Proposal - 3 year'!C185+'Rate Proposal - 3 year'!E178</f>
        <v>#DIV/0!</v>
      </c>
      <c r="H13" s="122" t="e">
        <f>'Rate Proposal - 3 year'!F252</f>
        <v>#DIV/0!</v>
      </c>
      <c r="I13" s="122" t="e">
        <f>'Rate Proposal - 3 year'!C187+'Rate Proposal - 3 year'!E180</f>
        <v>#DIV/0!</v>
      </c>
    </row>
    <row r="14" spans="1:9" ht="14.5" x14ac:dyDescent="0.35">
      <c r="A14" s="64" t="str">
        <f>"       3. Total"</f>
        <v xml:space="preserve">       3. Total</v>
      </c>
      <c r="B14" s="65"/>
      <c r="C14" s="65"/>
      <c r="D14" s="65"/>
      <c r="E14" s="65"/>
      <c r="F14" s="66"/>
      <c r="G14" s="122" t="e">
        <f>SUM(G12:G13)</f>
        <v>#DIV/0!</v>
      </c>
      <c r="H14" s="122" t="e">
        <f>SUM(H12:H13)</f>
        <v>#DIV/0!</v>
      </c>
      <c r="I14" s="122" t="e">
        <f>SUM(I12:I13)</f>
        <v>#DIV/0!</v>
      </c>
    </row>
    <row r="15" spans="1:9" ht="14.5" x14ac:dyDescent="0.35">
      <c r="A15" s="64" t="s">
        <v>91</v>
      </c>
      <c r="B15" s="65"/>
      <c r="C15" s="65"/>
      <c r="D15" s="65"/>
      <c r="E15" s="65"/>
      <c r="F15" s="66"/>
      <c r="G15" s="123"/>
      <c r="H15" s="122"/>
      <c r="I15" s="123"/>
    </row>
    <row r="16" spans="1:9" ht="14.5" x14ac:dyDescent="0.35">
      <c r="A16" s="64" t="str">
        <f>"       1. Gain (Loss)"</f>
        <v xml:space="preserve">       1. Gain (Loss)</v>
      </c>
      <c r="B16" s="65"/>
      <c r="C16" s="65"/>
      <c r="D16" s="65"/>
      <c r="E16" s="65"/>
      <c r="F16" s="66"/>
      <c r="G16" s="122" t="e">
        <f>G10-G14</f>
        <v>#DIV/0!</v>
      </c>
      <c r="H16" s="122" t="e">
        <f>H10-H14</f>
        <v>#DIV/0!</v>
      </c>
      <c r="I16" s="122" t="e">
        <f>I10-I14</f>
        <v>#DIV/0!</v>
      </c>
    </row>
    <row r="17" spans="1:9" ht="14.5" x14ac:dyDescent="0.35">
      <c r="A17" s="64" t="str">
        <f>"       2. Ratio of 1.04* Incurred Premium Income/Outgo"</f>
        <v xml:space="preserve">       2. Ratio of 1.04* Incurred Premium Income/Outgo</v>
      </c>
      <c r="B17" s="65"/>
      <c r="C17" s="65"/>
      <c r="D17" s="65"/>
      <c r="E17" s="65"/>
      <c r="F17" s="66"/>
      <c r="G17" s="124" t="e">
        <f>1.04*G7/G14</f>
        <v>#DIV/0!</v>
      </c>
      <c r="H17" s="124" t="e">
        <f>1.04*H7/H14</f>
        <v>#DIV/0!</v>
      </c>
      <c r="I17" s="124" t="e">
        <f>1.04*I7/I14</f>
        <v>#DIV/0!</v>
      </c>
    </row>
    <row r="18" spans="1:9" ht="14.5" x14ac:dyDescent="0.35">
      <c r="A18" s="64" t="s">
        <v>92</v>
      </c>
      <c r="B18" s="65"/>
      <c r="C18" s="65"/>
      <c r="D18" s="65"/>
      <c r="E18" s="65"/>
      <c r="F18" s="66"/>
      <c r="G18" s="123"/>
      <c r="H18" s="123"/>
      <c r="I18" s="123"/>
    </row>
    <row r="19" spans="1:9" ht="14.5" x14ac:dyDescent="0.35">
      <c r="A19" s="64" t="str">
        <f>"       1. Beginning Special"</f>
        <v xml:space="preserve">       1. Beginning Special</v>
      </c>
      <c r="B19" s="65"/>
      <c r="C19" s="65"/>
      <c r="D19" s="65"/>
      <c r="E19" s="65"/>
      <c r="F19" s="66"/>
      <c r="G19" s="122" t="e">
        <f>-G16+'Rate Proposal - 3 year'!F167</f>
        <v>#DIV/0!</v>
      </c>
      <c r="H19" s="122">
        <f>'Rate Proposal - 3 year'!F256</f>
        <v>0</v>
      </c>
      <c r="I19" s="122" t="e">
        <f>'Rate Proposal - 3 year'!F257</f>
        <v>#DIV/0!</v>
      </c>
    </row>
    <row r="20" spans="1:9" ht="14.5" x14ac:dyDescent="0.35">
      <c r="A20" s="64" t="str">
        <f>"       2. Ending Special"</f>
        <v xml:space="preserve">       2. Ending Special</v>
      </c>
      <c r="B20" s="65"/>
      <c r="C20" s="65"/>
      <c r="D20" s="65"/>
      <c r="E20" s="65"/>
      <c r="F20" s="66"/>
      <c r="G20" s="122">
        <f>'Rate Proposal - 3 year'!F167</f>
        <v>0</v>
      </c>
      <c r="H20" s="122" t="e">
        <f>'Rate Proposal - 3 year'!F257</f>
        <v>#DIV/0!</v>
      </c>
      <c r="I20" s="122" t="e">
        <f>I19+I16</f>
        <v>#DIV/0!</v>
      </c>
    </row>
    <row r="21" spans="1:9" ht="14.5" x14ac:dyDescent="0.35">
      <c r="A21" s="64" t="str">
        <f>"       3. Ending Contingency Reserve"</f>
        <v xml:space="preserve">       3. Ending Contingency Reserve</v>
      </c>
      <c r="B21" s="65"/>
      <c r="C21" s="65"/>
      <c r="D21" s="65"/>
      <c r="E21" s="65"/>
      <c r="F21" s="66"/>
      <c r="G21" s="122">
        <f>'Rate Proposal - 3 year'!E198</f>
        <v>0</v>
      </c>
      <c r="H21" s="122">
        <f>'Rate Proposal - 3 year'!F232</f>
        <v>0</v>
      </c>
      <c r="I21" s="122" t="e">
        <f>'Rate Proposal - 3 year'!F271</f>
        <v>#DIV/0!</v>
      </c>
    </row>
    <row r="22" spans="1:9" ht="14.5" x14ac:dyDescent="0.35">
      <c r="A22" s="64" t="str">
        <f>"       4. Total Unobligated Reserve"</f>
        <v xml:space="preserve">       4. Total Unobligated Reserve</v>
      </c>
      <c r="B22" s="65"/>
      <c r="C22" s="65"/>
      <c r="D22" s="65"/>
      <c r="E22" s="65"/>
      <c r="F22" s="66"/>
      <c r="G22" s="122">
        <f>G20+G21</f>
        <v>0</v>
      </c>
      <c r="H22" s="122" t="e">
        <f>H20+H21</f>
        <v>#DIV/0!</v>
      </c>
      <c r="I22" s="122" t="e">
        <f>I20+I21</f>
        <v>#DIV/0!</v>
      </c>
    </row>
    <row r="23" spans="1:9" ht="14.5" x14ac:dyDescent="0.35">
      <c r="A23" s="64" t="str">
        <f>"       5. Accrued Claims Reserve"</f>
        <v xml:space="preserve">       5. Accrued Claims Reserve</v>
      </c>
      <c r="B23" s="65"/>
      <c r="C23" s="65"/>
      <c r="D23" s="65"/>
      <c r="E23" s="65"/>
      <c r="F23" s="66"/>
      <c r="G23" s="122">
        <f>'Rate Proposal - 3 year'!F170</f>
        <v>0</v>
      </c>
      <c r="H23" s="122" t="e">
        <f>'Rate Proposal - 3 year'!F171</f>
        <v>#DIV/0!</v>
      </c>
      <c r="I23" s="122" t="e">
        <f>'Rate Proposal - 3 year'!F172</f>
        <v>#DIV/0!</v>
      </c>
    </row>
    <row r="24" spans="1:9" ht="14.5" x14ac:dyDescent="0.35">
      <c r="A24" s="64" t="str">
        <f>"       6. Accrued Adm. Expense Reserve"</f>
        <v xml:space="preserve">       6. Accrued Adm. Expense Reserve</v>
      </c>
      <c r="B24" s="65"/>
      <c r="C24" s="65"/>
      <c r="D24" s="65"/>
      <c r="E24" s="65"/>
      <c r="F24" s="66"/>
      <c r="G24" s="122">
        <f>'Rate Proposal - 3 year'!E185</f>
        <v>0</v>
      </c>
      <c r="H24" s="122" t="e">
        <f>'Rate Proposal - 3 year'!E186</f>
        <v>#DIV/0!</v>
      </c>
      <c r="I24" s="122" t="e">
        <f>'Rate Proposal - 3 year'!E187</f>
        <v>#DIV/0!</v>
      </c>
    </row>
    <row r="25" spans="1:9" ht="14.5" x14ac:dyDescent="0.35">
      <c r="A25" s="64" t="str">
        <f>"       7. Total Reserves"</f>
        <v xml:space="preserve">       7. Total Reserves</v>
      </c>
      <c r="B25" s="65"/>
      <c r="C25" s="65"/>
      <c r="D25" s="65"/>
      <c r="E25" s="65"/>
      <c r="F25" s="66"/>
      <c r="G25" s="122">
        <f>SUM(G22:G24)</f>
        <v>0</v>
      </c>
      <c r="H25" s="122" t="e">
        <f>H24+H23+H22</f>
        <v>#DIV/0!</v>
      </c>
      <c r="I25" s="122" t="e">
        <f>I22+I23+I24</f>
        <v>#DIV/0!</v>
      </c>
    </row>
    <row r="26" spans="1:9" ht="15" thickBot="1" x14ac:dyDescent="0.4">
      <c r="A26" s="70" t="s">
        <v>368</v>
      </c>
      <c r="B26" s="71"/>
      <c r="C26" s="71"/>
      <c r="D26" s="71"/>
      <c r="E26" s="71"/>
      <c r="F26" s="72"/>
      <c r="G26" s="400" t="e">
        <f>G22/(G14/12)</f>
        <v>#DIV/0!</v>
      </c>
      <c r="H26" s="400" t="e">
        <f>H22/(H14/12)</f>
        <v>#DIV/0!</v>
      </c>
      <c r="I26" s="400" t="e">
        <f>I22/(I14/12)</f>
        <v>#DIV/0!</v>
      </c>
    </row>
    <row r="27" spans="1:9" x14ac:dyDescent="0.3">
      <c r="A27" s="60"/>
      <c r="B27" s="60"/>
      <c r="C27" s="60"/>
      <c r="D27" s="60"/>
      <c r="E27" s="60"/>
      <c r="F27" s="60"/>
    </row>
    <row r="28" spans="1:9" x14ac:dyDescent="0.3">
      <c r="A28" s="60"/>
      <c r="B28" s="60"/>
      <c r="C28" s="60"/>
      <c r="D28" s="60"/>
      <c r="E28" s="60"/>
      <c r="F28" s="60"/>
    </row>
    <row r="29" spans="1:9" x14ac:dyDescent="0.3">
      <c r="A29" s="60"/>
      <c r="B29" s="60"/>
      <c r="C29" s="60"/>
      <c r="D29" s="60"/>
      <c r="E29" s="60"/>
      <c r="F29" s="60"/>
    </row>
    <row r="30" spans="1:9" x14ac:dyDescent="0.3">
      <c r="A30" s="60"/>
      <c r="B30" s="60"/>
      <c r="C30" s="60"/>
      <c r="D30" s="60"/>
      <c r="E30" s="60"/>
      <c r="F30" s="60"/>
    </row>
    <row r="31" spans="1:9" x14ac:dyDescent="0.3">
      <c r="A31" s="60"/>
      <c r="B31" s="60"/>
      <c r="C31" s="60"/>
      <c r="D31" s="60"/>
      <c r="E31" s="60"/>
      <c r="F31" s="60"/>
    </row>
    <row r="32" spans="1:9" x14ac:dyDescent="0.3">
      <c r="A32" s="60"/>
      <c r="B32" s="60"/>
      <c r="C32" s="60"/>
      <c r="D32" s="60"/>
      <c r="E32" s="60"/>
      <c r="F32" s="60"/>
    </row>
    <row r="33" spans="1:9" x14ac:dyDescent="0.3">
      <c r="A33" s="60"/>
      <c r="B33" s="60"/>
      <c r="C33" s="60"/>
      <c r="D33" s="60"/>
      <c r="E33" s="60"/>
      <c r="F33" s="60"/>
    </row>
    <row r="34" spans="1:9" x14ac:dyDescent="0.3">
      <c r="A34" s="60"/>
      <c r="B34" s="60"/>
      <c r="C34" s="60"/>
      <c r="D34" s="60"/>
      <c r="E34" s="60"/>
      <c r="F34" s="60"/>
    </row>
    <row r="35" spans="1:9" x14ac:dyDescent="0.3">
      <c r="A35" s="60"/>
      <c r="B35" s="60"/>
      <c r="C35" s="60"/>
      <c r="D35" s="60"/>
      <c r="E35" s="60"/>
      <c r="F35" s="60"/>
    </row>
    <row r="36" spans="1:9" x14ac:dyDescent="0.3">
      <c r="A36" s="60"/>
      <c r="B36" s="60"/>
      <c r="C36" s="60"/>
      <c r="D36" s="60"/>
      <c r="E36" s="60"/>
      <c r="F36" s="60"/>
    </row>
    <row r="37" spans="1:9" x14ac:dyDescent="0.3">
      <c r="A37" s="60"/>
      <c r="B37" s="60"/>
      <c r="C37" s="60"/>
      <c r="D37" s="60"/>
      <c r="E37" s="60"/>
      <c r="F37" s="60"/>
    </row>
    <row r="38" spans="1:9" x14ac:dyDescent="0.3">
      <c r="A38" s="60"/>
      <c r="B38" s="60"/>
      <c r="C38" s="60"/>
      <c r="D38" s="60"/>
      <c r="E38" s="60"/>
      <c r="F38" s="60"/>
    </row>
    <row r="39" spans="1:9" x14ac:dyDescent="0.3">
      <c r="A39" s="60"/>
      <c r="B39" s="60"/>
      <c r="C39" s="60"/>
      <c r="D39" s="60"/>
      <c r="E39" s="60"/>
      <c r="F39" s="60"/>
    </row>
    <row r="40" spans="1:9" x14ac:dyDescent="0.3">
      <c r="A40" s="60"/>
      <c r="B40" s="60"/>
      <c r="C40" s="60"/>
      <c r="D40" s="60"/>
      <c r="E40" s="60"/>
      <c r="F40" s="60"/>
    </row>
    <row r="41" spans="1:9" x14ac:dyDescent="0.3">
      <c r="A41" s="60"/>
      <c r="B41" s="60"/>
      <c r="C41" s="60"/>
      <c r="D41" s="60"/>
      <c r="E41" s="60"/>
      <c r="F41" s="60"/>
    </row>
    <row r="42" spans="1:9" x14ac:dyDescent="0.3">
      <c r="A42" s="60"/>
      <c r="B42" s="60"/>
      <c r="C42" s="60"/>
      <c r="D42" s="60"/>
      <c r="E42" s="60"/>
      <c r="F42" s="60"/>
    </row>
    <row r="43" spans="1:9" x14ac:dyDescent="0.3">
      <c r="A43" s="60"/>
      <c r="B43" s="60"/>
      <c r="C43" s="60"/>
      <c r="D43" s="60"/>
      <c r="E43" s="60"/>
      <c r="F43" s="60"/>
    </row>
    <row r="44" spans="1:9" x14ac:dyDescent="0.3">
      <c r="A44" s="60"/>
      <c r="B44" s="60"/>
      <c r="C44" s="60"/>
      <c r="D44" s="60"/>
      <c r="E44" s="60"/>
      <c r="F44" s="60"/>
    </row>
    <row r="45" spans="1:9" x14ac:dyDescent="0.3">
      <c r="A45" s="60"/>
      <c r="B45" s="60"/>
      <c r="C45" s="60"/>
      <c r="D45" s="60"/>
      <c r="E45" s="60"/>
      <c r="F45" s="60"/>
    </row>
    <row r="46" spans="1:9" x14ac:dyDescent="0.3">
      <c r="A46" s="60"/>
      <c r="B46" s="60"/>
      <c r="C46" s="60"/>
      <c r="D46" s="60"/>
      <c r="E46" s="60"/>
      <c r="F46" s="60"/>
      <c r="G46" s="60"/>
    </row>
    <row r="47" spans="1:9" ht="18.5" x14ac:dyDescent="0.45">
      <c r="A47" s="479"/>
      <c r="B47" s="479"/>
      <c r="C47" s="479"/>
      <c r="D47" s="479"/>
      <c r="E47" s="479"/>
      <c r="F47" s="479"/>
      <c r="G47" s="479"/>
      <c r="H47" s="479"/>
      <c r="I47" s="479"/>
    </row>
    <row r="48" spans="1:9" x14ac:dyDescent="0.3">
      <c r="A48" s="470"/>
      <c r="B48" s="470"/>
      <c r="C48" s="470"/>
      <c r="D48" s="470"/>
      <c r="E48" s="470"/>
      <c r="F48" s="470"/>
      <c r="G48" s="470"/>
      <c r="H48" s="470"/>
      <c r="I48" s="470"/>
    </row>
    <row r="49" spans="1:9" x14ac:dyDescent="0.3">
      <c r="A49" s="470"/>
      <c r="B49" s="470"/>
      <c r="C49" s="470"/>
      <c r="D49" s="470"/>
      <c r="E49" s="470"/>
      <c r="F49" s="470"/>
      <c r="G49" s="470"/>
      <c r="H49" s="470"/>
      <c r="I49" s="470"/>
    </row>
    <row r="50" spans="1:9" x14ac:dyDescent="0.3">
      <c r="A50" s="482"/>
      <c r="B50" s="482"/>
      <c r="C50" s="482"/>
      <c r="D50" s="482"/>
      <c r="E50" s="482"/>
      <c r="F50" s="482"/>
      <c r="G50" s="482"/>
      <c r="H50" s="482"/>
      <c r="I50" s="482"/>
    </row>
    <row r="51" spans="1:9" x14ac:dyDescent="0.3">
      <c r="B51" s="60"/>
      <c r="C51" s="60"/>
      <c r="D51" s="60"/>
      <c r="E51" s="60"/>
      <c r="F51" s="60"/>
      <c r="G51" s="60"/>
    </row>
    <row r="52" spans="1:9" x14ac:dyDescent="0.3">
      <c r="A52" s="60"/>
      <c r="B52" s="60"/>
      <c r="C52" s="60"/>
      <c r="D52" s="60"/>
      <c r="E52" s="60"/>
      <c r="F52" s="60"/>
      <c r="G52" s="60"/>
    </row>
    <row r="53" spans="1:9" x14ac:dyDescent="0.3">
      <c r="A53" s="60"/>
      <c r="B53" s="60"/>
      <c r="C53" s="60"/>
      <c r="D53" s="60"/>
      <c r="E53" s="60"/>
      <c r="F53" s="60"/>
    </row>
    <row r="54" spans="1:9" x14ac:dyDescent="0.3">
      <c r="A54" s="60"/>
      <c r="B54" s="60"/>
      <c r="C54" s="60"/>
      <c r="D54" s="60"/>
      <c r="E54" s="60"/>
      <c r="F54" s="60"/>
    </row>
    <row r="55" spans="1:9" x14ac:dyDescent="0.3">
      <c r="A55" s="60"/>
      <c r="B55" s="60"/>
      <c r="C55" s="60"/>
      <c r="D55" s="60"/>
      <c r="E55" s="60"/>
      <c r="F55" s="60"/>
    </row>
    <row r="56" spans="1:9" x14ac:dyDescent="0.3">
      <c r="A56" s="60"/>
      <c r="B56" s="60"/>
      <c r="C56" s="60"/>
      <c r="D56" s="60"/>
      <c r="E56" s="60"/>
      <c r="F56" s="60"/>
    </row>
    <row r="57" spans="1:9" x14ac:dyDescent="0.3">
      <c r="A57" s="60"/>
      <c r="B57" s="60"/>
      <c r="C57" s="60"/>
      <c r="D57" s="60"/>
      <c r="E57" s="60"/>
      <c r="F57" s="60"/>
    </row>
    <row r="58" spans="1:9" x14ac:dyDescent="0.3">
      <c r="A58" s="60"/>
      <c r="B58" s="60"/>
      <c r="C58" s="60"/>
      <c r="D58" s="60"/>
      <c r="E58" s="60"/>
      <c r="F58" s="60"/>
    </row>
    <row r="59" spans="1:9" x14ac:dyDescent="0.3">
      <c r="A59" s="60"/>
      <c r="B59" s="60"/>
      <c r="C59" s="60"/>
      <c r="D59" s="60"/>
      <c r="E59" s="60"/>
      <c r="F59" s="60"/>
    </row>
    <row r="60" spans="1:9" x14ac:dyDescent="0.3">
      <c r="A60" s="60"/>
      <c r="B60" s="60"/>
      <c r="C60" s="60"/>
      <c r="D60" s="60"/>
      <c r="E60" s="60"/>
      <c r="F60" s="60"/>
    </row>
    <row r="61" spans="1:9" x14ac:dyDescent="0.3">
      <c r="A61" s="60"/>
      <c r="B61" s="60"/>
      <c r="C61" s="60"/>
      <c r="D61" s="60"/>
      <c r="E61" s="60"/>
      <c r="F61" s="60"/>
    </row>
    <row r="62" spans="1:9" x14ac:dyDescent="0.3">
      <c r="A62" s="60"/>
      <c r="B62" s="60"/>
      <c r="C62" s="60"/>
      <c r="D62" s="60"/>
      <c r="E62" s="60"/>
      <c r="F62" s="60"/>
    </row>
    <row r="63" spans="1:9" x14ac:dyDescent="0.3">
      <c r="A63" s="60"/>
      <c r="B63" s="60"/>
      <c r="C63" s="60"/>
      <c r="D63" s="60"/>
      <c r="E63" s="60"/>
      <c r="F63" s="60"/>
    </row>
    <row r="64" spans="1:9" x14ac:dyDescent="0.3">
      <c r="A64" s="60"/>
      <c r="B64" s="60"/>
      <c r="C64" s="60"/>
      <c r="D64" s="60"/>
      <c r="E64" s="60"/>
      <c r="F64" s="60"/>
    </row>
    <row r="65" spans="1:7" x14ac:dyDescent="0.3">
      <c r="A65" s="60"/>
      <c r="B65" s="60"/>
      <c r="C65" s="60"/>
      <c r="D65" s="60"/>
      <c r="E65" s="60"/>
      <c r="F65" s="60"/>
    </row>
    <row r="66" spans="1:7" x14ac:dyDescent="0.3">
      <c r="A66" s="60"/>
      <c r="B66" s="60"/>
      <c r="C66" s="60"/>
      <c r="D66" s="60"/>
      <c r="E66" s="60"/>
      <c r="F66" s="60"/>
    </row>
    <row r="67" spans="1:7" x14ac:dyDescent="0.3">
      <c r="A67" s="60"/>
      <c r="B67" s="60"/>
      <c r="C67" s="60"/>
      <c r="D67" s="60"/>
      <c r="E67" s="60"/>
      <c r="F67" s="60"/>
    </row>
    <row r="68" spans="1:7" x14ac:dyDescent="0.3">
      <c r="A68" s="60"/>
      <c r="B68" s="60"/>
      <c r="C68" s="60"/>
      <c r="D68" s="60"/>
      <c r="E68" s="60"/>
      <c r="F68" s="60"/>
    </row>
    <row r="69" spans="1:7" x14ac:dyDescent="0.3">
      <c r="A69" s="60"/>
      <c r="B69" s="60"/>
      <c r="C69" s="60"/>
      <c r="D69" s="60"/>
      <c r="E69" s="60"/>
      <c r="F69" s="60"/>
    </row>
    <row r="70" spans="1:7" x14ac:dyDescent="0.3">
      <c r="A70" s="60"/>
      <c r="B70" s="60"/>
      <c r="C70" s="60"/>
      <c r="D70" s="60"/>
      <c r="E70" s="60"/>
      <c r="F70" s="60"/>
    </row>
    <row r="71" spans="1:7" x14ac:dyDescent="0.3">
      <c r="A71" s="60"/>
      <c r="B71" s="60"/>
      <c r="C71" s="60"/>
      <c r="D71" s="60"/>
      <c r="E71" s="60"/>
      <c r="F71" s="60"/>
    </row>
    <row r="72" spans="1:7" x14ac:dyDescent="0.3">
      <c r="A72" s="60"/>
      <c r="B72" s="60"/>
      <c r="C72" s="60"/>
      <c r="D72" s="60"/>
      <c r="E72" s="60"/>
      <c r="F72" s="60"/>
    </row>
    <row r="73" spans="1:7" x14ac:dyDescent="0.3">
      <c r="A73" s="60"/>
      <c r="B73" s="60"/>
      <c r="C73" s="60"/>
      <c r="D73" s="60"/>
      <c r="E73" s="60"/>
      <c r="F73" s="60"/>
      <c r="G73" s="60"/>
    </row>
    <row r="74" spans="1:7" x14ac:dyDescent="0.3">
      <c r="B74" s="60"/>
      <c r="C74" s="60"/>
      <c r="D74" s="60"/>
      <c r="E74" s="60"/>
      <c r="F74" s="60"/>
      <c r="G74" s="60"/>
    </row>
    <row r="75" spans="1:7" x14ac:dyDescent="0.3">
      <c r="B75" s="60"/>
      <c r="C75" s="60"/>
      <c r="D75" s="60"/>
      <c r="E75" s="60"/>
      <c r="F75" s="60"/>
    </row>
    <row r="76" spans="1:7" x14ac:dyDescent="0.3">
      <c r="B76" s="60"/>
      <c r="C76" s="60"/>
      <c r="D76" s="60"/>
      <c r="E76" s="60"/>
      <c r="F76" s="60"/>
    </row>
    <row r="77" spans="1:7" x14ac:dyDescent="0.3">
      <c r="B77" s="60"/>
      <c r="C77" s="60"/>
      <c r="D77" s="60"/>
      <c r="E77" s="60"/>
      <c r="F77" s="60"/>
    </row>
  </sheetData>
  <sheetProtection algorithmName="SHA-512" hashValue="LXToo3B69UW8lqmD2kFALRcbZRGEGug6MKrXvtnUywlIOPKhbN9UlKgRlp4x994d8WX214THXc/dLjFE41LpBQ==" saltValue="jaEOUfxbyJ7jsfboXjfATg==" spinCount="100000" sheet="1" objects="1" scenarios="1"/>
  <mergeCells count="7">
    <mergeCell ref="A48:I48"/>
    <mergeCell ref="A49:I49"/>
    <mergeCell ref="A50:I50"/>
    <mergeCell ref="A1:I1"/>
    <mergeCell ref="A2:I2"/>
    <mergeCell ref="A3:I3"/>
    <mergeCell ref="A47:I47"/>
  </mergeCells>
  <phoneticPr fontId="3" type="noConversion"/>
  <printOptions horizontalCentered="1" verticalCentered="1"/>
  <pageMargins left="0.75" right="0.75" top="1" bottom="1" header="0.5" footer="0.5"/>
  <pageSetup orientation="landscape" r:id="rId1"/>
  <headerFooter alignWithMargins="0"/>
  <rowBreaks count="1" manualBreakCount="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indexed="32"/>
    <pageSetUpPr fitToPage="1"/>
  </sheetPr>
  <dimension ref="A1:M35"/>
  <sheetViews>
    <sheetView zoomScaleNormal="100" workbookViewId="0">
      <selection activeCell="A2" sqref="A2:G3"/>
    </sheetView>
  </sheetViews>
  <sheetFormatPr defaultColWidth="9.1796875" defaultRowHeight="13" x14ac:dyDescent="0.3"/>
  <cols>
    <col min="1" max="4" width="9.1796875" style="6"/>
    <col min="5" max="7" width="14.26953125" style="6" customWidth="1"/>
    <col min="8" max="10" width="9.1796875" style="6"/>
    <col min="11" max="13" width="9.1796875" style="126"/>
    <col min="14" max="16384" width="9.1796875" style="6"/>
  </cols>
  <sheetData>
    <row r="1" spans="1:13" ht="18.5" x14ac:dyDescent="0.45">
      <c r="A1" s="479" t="s">
        <v>201</v>
      </c>
      <c r="B1" s="479"/>
      <c r="C1" s="479"/>
      <c r="D1" s="479"/>
      <c r="E1" s="479"/>
      <c r="F1" s="479"/>
      <c r="G1" s="479"/>
      <c r="H1" s="479"/>
      <c r="I1" s="479"/>
      <c r="J1" s="479"/>
      <c r="K1" s="484"/>
      <c r="L1" s="484"/>
      <c r="M1" s="484"/>
    </row>
    <row r="2" spans="1:13" ht="14.5" x14ac:dyDescent="0.35">
      <c r="A2" s="477">
        <f>Plan</f>
        <v>0</v>
      </c>
      <c r="B2" s="477"/>
      <c r="C2" s="477"/>
      <c r="D2" s="477"/>
      <c r="E2" s="477"/>
      <c r="F2" s="477"/>
      <c r="G2" s="477"/>
      <c r="H2" s="470"/>
      <c r="I2" s="470"/>
      <c r="J2" s="470"/>
      <c r="K2" s="483"/>
      <c r="L2" s="483"/>
      <c r="M2" s="483"/>
    </row>
    <row r="3" spans="1:13" ht="15" thickBot="1" x14ac:dyDescent="0.4">
      <c r="A3" s="481" t="str">
        <f>IF(Option="1, 3, 2", Code&amp;"1, "&amp;Code&amp;"3, "&amp;Code&amp;"2", IF(Option="4, 6, 5", Code&amp;"4, "&amp;Code&amp;"6, "&amp;Code&amp;"5", ""))</f>
        <v/>
      </c>
      <c r="B3" s="481"/>
      <c r="C3" s="481"/>
      <c r="D3" s="481"/>
      <c r="E3" s="481"/>
      <c r="F3" s="481"/>
      <c r="G3" s="481"/>
      <c r="H3" s="470"/>
      <c r="I3" s="470"/>
      <c r="J3" s="470"/>
      <c r="K3" s="483"/>
      <c r="L3" s="483"/>
      <c r="M3" s="483"/>
    </row>
    <row r="4" spans="1:13" ht="15" thickBot="1" x14ac:dyDescent="0.4">
      <c r="A4" s="61"/>
      <c r="B4" s="62"/>
      <c r="C4" s="62"/>
      <c r="D4" s="62"/>
      <c r="E4" s="129" t="s">
        <v>33</v>
      </c>
      <c r="F4" s="129" t="s">
        <v>190</v>
      </c>
      <c r="G4" s="130" t="s">
        <v>34</v>
      </c>
      <c r="I4" s="59"/>
      <c r="J4" s="59"/>
      <c r="K4" s="59"/>
      <c r="L4" s="59"/>
      <c r="M4" s="59"/>
    </row>
    <row r="5" spans="1:13" ht="14.5" x14ac:dyDescent="0.35">
      <c r="A5" s="64" t="str">
        <f>"A.   "&amp;year-1&amp;" Rates"</f>
        <v>A.   2020 Rates</v>
      </c>
      <c r="B5" s="253"/>
      <c r="C5" s="253"/>
      <c r="D5" s="253"/>
      <c r="E5" s="236">
        <f>'Rate Proposal - 3 year'!C37</f>
        <v>0</v>
      </c>
      <c r="F5" s="236">
        <f>'Rate Proposal - 3 year'!C38</f>
        <v>0</v>
      </c>
      <c r="G5" s="324">
        <f>'Rate Proposal - 3 year'!C39</f>
        <v>0</v>
      </c>
      <c r="I5" s="59"/>
      <c r="J5" s="59"/>
      <c r="K5" s="59"/>
      <c r="L5" s="59"/>
      <c r="M5" s="59"/>
    </row>
    <row r="6" spans="1:13" ht="14.5" x14ac:dyDescent="0.35">
      <c r="A6" s="64"/>
      <c r="B6" s="65"/>
      <c r="C6" s="65"/>
      <c r="D6" s="65"/>
      <c r="E6" s="133"/>
      <c r="F6" s="133"/>
      <c r="G6" s="134"/>
      <c r="I6" s="59"/>
      <c r="J6" s="59"/>
      <c r="K6" s="59"/>
      <c r="L6" s="59"/>
      <c r="M6" s="59"/>
    </row>
    <row r="7" spans="1:13" ht="14.5" x14ac:dyDescent="0.35">
      <c r="A7" s="64" t="str">
        <f>"B.   "&amp;year&amp;" Rates"</f>
        <v>B.   2021 Rates</v>
      </c>
      <c r="B7" s="65"/>
      <c r="C7" s="65"/>
      <c r="D7" s="65"/>
      <c r="E7" s="133"/>
      <c r="F7" s="133"/>
      <c r="G7" s="134"/>
      <c r="I7" s="59"/>
      <c r="J7" s="59"/>
      <c r="K7" s="59"/>
      <c r="L7" s="59"/>
      <c r="M7" s="59"/>
    </row>
    <row r="8" spans="1:13" ht="14.5" x14ac:dyDescent="0.35">
      <c r="A8" s="64"/>
      <c r="B8" s="65"/>
      <c r="C8" s="65"/>
      <c r="D8" s="65"/>
      <c r="E8" s="133"/>
      <c r="F8" s="133"/>
      <c r="G8" s="134"/>
      <c r="I8" s="59"/>
      <c r="J8" s="59"/>
      <c r="K8" s="59"/>
      <c r="L8" s="59"/>
      <c r="M8" s="59"/>
    </row>
    <row r="9" spans="1:13" ht="14.5" x14ac:dyDescent="0.35">
      <c r="A9" s="64" t="str">
        <f>"    1.  Experience Change"</f>
        <v xml:space="preserve">    1.  Experience Change</v>
      </c>
      <c r="B9" s="65"/>
      <c r="C9" s="65"/>
      <c r="D9" s="65"/>
      <c r="E9" s="131" t="e">
        <f>E15-E5-E11-E13</f>
        <v>#DIV/0!</v>
      </c>
      <c r="F9" s="131" t="e">
        <f>F15-F5-F11-F13</f>
        <v>#DIV/0!</v>
      </c>
      <c r="G9" s="132" t="e">
        <f>G15-G5-G11-G13</f>
        <v>#DIV/0!</v>
      </c>
      <c r="I9" s="59"/>
      <c r="J9" s="59"/>
      <c r="K9" s="59"/>
      <c r="L9" s="59"/>
      <c r="M9" s="59"/>
    </row>
    <row r="10" spans="1:13" ht="14.5" x14ac:dyDescent="0.35">
      <c r="A10" s="64"/>
      <c r="B10" s="65"/>
      <c r="C10" s="65"/>
      <c r="D10" s="65"/>
      <c r="E10" s="133"/>
      <c r="F10" s="133"/>
      <c r="G10" s="134"/>
      <c r="I10" s="59"/>
      <c r="J10" s="59"/>
      <c r="K10" s="59"/>
      <c r="L10" s="59"/>
      <c r="M10" s="59"/>
    </row>
    <row r="11" spans="1:13" ht="14.5" x14ac:dyDescent="0.35">
      <c r="A11" s="64" t="str">
        <f>"    2.  Benefit Change"</f>
        <v xml:space="preserve">    2.  Benefit Change</v>
      </c>
      <c r="B11" s="65"/>
      <c r="C11" s="65"/>
      <c r="D11" s="65"/>
      <c r="E11" s="131" t="e">
        <f>IF('Rate Proposal - 3 year'!$D$119=0,E5*'Rate Proposal - 3 year'!$D$120-'Table2 - 3 year'!E5,'Table2 - 3 year'!E5*'Rate Proposal - 3 year'!$D$119-'Table2 - 3 year'!E5)</f>
        <v>#DIV/0!</v>
      </c>
      <c r="F11" s="131" t="e">
        <f>IF('Rate Proposal - 3 year'!$D$119=0,F5*'Rate Proposal - 3 year'!$D$120-'Table2 - 3 year'!F5,'Table2 - 3 year'!F5*'Rate Proposal - 3 year'!$D$119-'Table2 - 3 year'!F5)</f>
        <v>#DIV/0!</v>
      </c>
      <c r="G11" s="132" t="e">
        <f>IF('Rate Proposal - 3 year'!$D$119=0,G5*'Rate Proposal - 3 year'!$D$120-'Table2 - 3 year'!G5,'Table2 - 3 year'!G5*'Rate Proposal - 3 year'!$D$119-'Table2 - 3 year'!G5)</f>
        <v>#DIV/0!</v>
      </c>
      <c r="I11" s="59"/>
      <c r="J11" s="59"/>
      <c r="K11" s="59"/>
      <c r="L11" s="59"/>
      <c r="M11" s="59"/>
    </row>
    <row r="12" spans="1:13" ht="14.5" x14ac:dyDescent="0.35">
      <c r="A12" s="64"/>
      <c r="B12" s="65"/>
      <c r="C12" s="65"/>
      <c r="D12" s="65"/>
      <c r="E12" s="131"/>
      <c r="F12" s="131"/>
      <c r="G12" s="132"/>
      <c r="I12" s="59"/>
      <c r="J12" s="59"/>
      <c r="K12" s="59"/>
      <c r="L12" s="59"/>
      <c r="M12" s="59"/>
    </row>
    <row r="13" spans="1:13" ht="14.5" x14ac:dyDescent="0.35">
      <c r="A13" s="64" t="str">
        <f>"    3.  Other Changes"</f>
        <v xml:space="preserve">    3.  Other Changes</v>
      </c>
      <c r="B13" s="65"/>
      <c r="C13" s="65"/>
      <c r="D13" s="65"/>
      <c r="E13" s="131">
        <f>-E5*(1-'Rate Proposal - 3 year'!$D$148)</f>
        <v>0</v>
      </c>
      <c r="F13" s="131">
        <f>-F5*(1-'Rate Proposal - 3 year'!$D$148)</f>
        <v>0</v>
      </c>
      <c r="G13" s="132">
        <f>-G5*(1-'Rate Proposal - 3 year'!$D$148)</f>
        <v>0</v>
      </c>
      <c r="I13" s="59"/>
      <c r="J13" s="59"/>
      <c r="K13" s="325"/>
      <c r="L13" s="59"/>
      <c r="M13" s="59"/>
    </row>
    <row r="14" spans="1:13" ht="14.5" x14ac:dyDescent="0.35">
      <c r="A14" s="64"/>
      <c r="B14" s="65"/>
      <c r="C14" s="65"/>
      <c r="D14" s="65"/>
      <c r="E14" s="133"/>
      <c r="F14" s="133"/>
      <c r="G14" s="134"/>
      <c r="I14" s="59"/>
      <c r="J14" s="59"/>
      <c r="K14" s="59"/>
      <c r="L14" s="59"/>
      <c r="M14" s="59"/>
    </row>
    <row r="15" spans="1:13" ht="14.5" x14ac:dyDescent="0.35">
      <c r="A15" s="64" t="str">
        <f>"    4.  Total ( " &amp; year &amp; " Rates)"</f>
        <v xml:space="preserve">    4.  Total ( 2021 Rates)</v>
      </c>
      <c r="B15" s="65"/>
      <c r="C15" s="65"/>
      <c r="D15" s="65"/>
      <c r="E15" s="235">
        <f>'Rate Proposal - 3 year'!C42</f>
        <v>0</v>
      </c>
      <c r="F15" s="235">
        <f>'Rate Proposal - 3 year'!C43</f>
        <v>0</v>
      </c>
      <c r="G15" s="237">
        <f>'Rate Proposal - 3 year'!C44</f>
        <v>0</v>
      </c>
      <c r="I15" s="59"/>
      <c r="J15" s="59"/>
      <c r="K15" s="59"/>
      <c r="L15" s="59"/>
      <c r="M15" s="59"/>
    </row>
    <row r="16" spans="1:13" ht="14.5" x14ac:dyDescent="0.35">
      <c r="A16" s="64"/>
      <c r="B16" s="65"/>
      <c r="C16" s="65"/>
      <c r="D16" s="65"/>
      <c r="E16" s="133"/>
      <c r="F16" s="133"/>
      <c r="G16" s="134"/>
      <c r="I16" s="59"/>
      <c r="J16" s="59"/>
      <c r="K16" s="59"/>
      <c r="L16" s="59"/>
      <c r="M16" s="59"/>
    </row>
    <row r="17" spans="1:13" ht="14.5" x14ac:dyDescent="0.35">
      <c r="A17" s="64" t="str">
        <f>"C.   Percent Change from "&amp;year-1&amp;" to "&amp; year</f>
        <v>C.   Percent Change from 2020 to 2021</v>
      </c>
      <c r="B17" s="65"/>
      <c r="C17" s="65"/>
      <c r="D17" s="65"/>
      <c r="E17" s="133"/>
      <c r="F17" s="133"/>
      <c r="G17" s="134"/>
      <c r="I17" s="59"/>
      <c r="J17" s="59"/>
      <c r="K17" s="59"/>
      <c r="L17" s="59"/>
      <c r="M17" s="59"/>
    </row>
    <row r="18" spans="1:13" ht="14.5" x14ac:dyDescent="0.35">
      <c r="A18" s="64"/>
      <c r="B18" s="65"/>
      <c r="C18" s="65"/>
      <c r="D18" s="65"/>
      <c r="E18" s="133"/>
      <c r="F18" s="133"/>
      <c r="G18" s="134"/>
      <c r="I18" s="59"/>
      <c r="J18" s="59"/>
      <c r="K18" s="59"/>
      <c r="L18" s="59"/>
      <c r="M18" s="59"/>
    </row>
    <row r="19" spans="1:13" ht="14.5" x14ac:dyDescent="0.35">
      <c r="A19" s="64" t="str">
        <f>"    1.  Experience Change"</f>
        <v xml:space="preserve">    1.  Experience Change</v>
      </c>
      <c r="B19" s="65"/>
      <c r="C19" s="65"/>
      <c r="D19" s="65"/>
      <c r="E19" s="135" t="e">
        <f>E9/$E$5</f>
        <v>#DIV/0!</v>
      </c>
      <c r="F19" s="135" t="e">
        <f>F9/$F$5</f>
        <v>#DIV/0!</v>
      </c>
      <c r="G19" s="136" t="e">
        <f>G9/$G$5</f>
        <v>#DIV/0!</v>
      </c>
      <c r="I19" s="59"/>
      <c r="J19" s="59"/>
      <c r="K19" s="59"/>
      <c r="L19" s="59"/>
      <c r="M19" s="59"/>
    </row>
    <row r="20" spans="1:13" ht="14.5" x14ac:dyDescent="0.35">
      <c r="A20" s="64"/>
      <c r="B20" s="65"/>
      <c r="C20" s="65"/>
      <c r="D20" s="65"/>
      <c r="E20" s="135"/>
      <c r="F20" s="135"/>
      <c r="G20" s="136"/>
      <c r="I20" s="59"/>
      <c r="J20" s="59"/>
      <c r="K20" s="59"/>
      <c r="L20" s="59"/>
      <c r="M20" s="59"/>
    </row>
    <row r="21" spans="1:13" ht="14.5" x14ac:dyDescent="0.35">
      <c r="A21" s="64" t="str">
        <f>"    2.  Benefit Change"</f>
        <v xml:space="preserve">    2.  Benefit Change</v>
      </c>
      <c r="B21" s="65"/>
      <c r="C21" s="65"/>
      <c r="D21" s="65"/>
      <c r="E21" s="135" t="e">
        <f>E11/$E$5</f>
        <v>#DIV/0!</v>
      </c>
      <c r="F21" s="135" t="e">
        <f>F11/$F$5</f>
        <v>#DIV/0!</v>
      </c>
      <c r="G21" s="136" t="e">
        <f>G11/$G$5</f>
        <v>#DIV/0!</v>
      </c>
      <c r="I21" s="59"/>
      <c r="J21" s="59"/>
      <c r="K21" s="59"/>
      <c r="L21" s="59"/>
      <c r="M21" s="59"/>
    </row>
    <row r="22" spans="1:13" ht="14.5" x14ac:dyDescent="0.35">
      <c r="A22" s="64"/>
      <c r="B22" s="65"/>
      <c r="C22" s="65"/>
      <c r="D22" s="65"/>
      <c r="E22" s="135"/>
      <c r="F22" s="135"/>
      <c r="G22" s="136"/>
      <c r="I22" s="59"/>
      <c r="J22" s="59"/>
      <c r="K22" s="59"/>
      <c r="L22" s="59"/>
      <c r="M22" s="59"/>
    </row>
    <row r="23" spans="1:13" ht="14.5" x14ac:dyDescent="0.35">
      <c r="A23" s="64" t="str">
        <f>"    3.  Other Changes"</f>
        <v xml:space="preserve">    3.  Other Changes</v>
      </c>
      <c r="B23" s="65"/>
      <c r="C23" s="65"/>
      <c r="D23" s="65"/>
      <c r="E23" s="135" t="e">
        <f>E13/$E$5</f>
        <v>#DIV/0!</v>
      </c>
      <c r="F23" s="135" t="e">
        <f>F13/$F$5</f>
        <v>#DIV/0!</v>
      </c>
      <c r="G23" s="136" t="e">
        <f>G13/$G$5</f>
        <v>#DIV/0!</v>
      </c>
      <c r="I23" s="59"/>
      <c r="J23" s="59"/>
      <c r="K23" s="59"/>
      <c r="L23" s="59"/>
      <c r="M23" s="59"/>
    </row>
    <row r="24" spans="1:13" ht="14.5" x14ac:dyDescent="0.35">
      <c r="A24" s="64"/>
      <c r="B24" s="65"/>
      <c r="C24" s="65"/>
      <c r="D24" s="65"/>
      <c r="E24" s="135"/>
      <c r="F24" s="135"/>
      <c r="G24" s="136"/>
      <c r="I24" s="59"/>
      <c r="J24" s="59"/>
      <c r="K24" s="59"/>
      <c r="L24" s="59"/>
      <c r="M24" s="59"/>
    </row>
    <row r="25" spans="1:13" ht="15" thickBot="1" x14ac:dyDescent="0.4">
      <c r="A25" s="70" t="str">
        <f>"    4.  Total Changes"</f>
        <v xml:space="preserve">    4.  Total Changes</v>
      </c>
      <c r="B25" s="71"/>
      <c r="C25" s="71"/>
      <c r="D25" s="71"/>
      <c r="E25" s="238" t="e">
        <f>E15/$E$5-1</f>
        <v>#DIV/0!</v>
      </c>
      <c r="F25" s="238" t="e">
        <f>F15/$F$5-1</f>
        <v>#DIV/0!</v>
      </c>
      <c r="G25" s="239" t="e">
        <f>G15/$G$5-1</f>
        <v>#DIV/0!</v>
      </c>
      <c r="I25" s="59"/>
      <c r="J25" s="59"/>
      <c r="K25" s="59"/>
      <c r="L25" s="59"/>
      <c r="M25" s="59"/>
    </row>
    <row r="26" spans="1:13" ht="13.5" thickBot="1" x14ac:dyDescent="0.35"/>
    <row r="27" spans="1:13" ht="15" thickBot="1" x14ac:dyDescent="0.4">
      <c r="A27" s="285" t="s">
        <v>202</v>
      </c>
      <c r="B27" s="286"/>
      <c r="C27" s="286"/>
      <c r="D27" s="286"/>
      <c r="E27" s="286"/>
      <c r="F27" s="286"/>
      <c r="G27" s="259">
        <f>year</f>
        <v>2021</v>
      </c>
    </row>
    <row r="28" spans="1:13" ht="14.5" x14ac:dyDescent="0.35">
      <c r="A28" s="252" t="str">
        <f>"Incurred Claims"</f>
        <v>Incurred Claims</v>
      </c>
      <c r="B28" s="280"/>
      <c r="C28" s="280"/>
      <c r="D28" s="280"/>
      <c r="E28" s="280"/>
      <c r="F28" s="280"/>
      <c r="G28" s="281" t="e">
        <f>'Rate Proposal - 3 year'!G158</f>
        <v>#DIV/0!</v>
      </c>
    </row>
    <row r="29" spans="1:13" ht="14.5" x14ac:dyDescent="0.35">
      <c r="A29" s="64" t="str">
        <f>"Incurred Expenses"</f>
        <v>Incurred Expenses</v>
      </c>
      <c r="B29" s="3"/>
      <c r="C29" s="3"/>
      <c r="D29" s="3"/>
      <c r="E29" s="3"/>
      <c r="F29" s="3"/>
      <c r="G29" s="282" t="e">
        <f>'Rate Proposal - 3 year'!C187+'Rate Proposal - 3 year'!E180</f>
        <v>#DIV/0!</v>
      </c>
    </row>
    <row r="30" spans="1:13" ht="14.5" x14ac:dyDescent="0.35">
      <c r="A30" s="64" t="str">
        <f>"Estimated Service Charge"</f>
        <v>Estimated Service Charge</v>
      </c>
      <c r="B30" s="3"/>
      <c r="C30" s="3"/>
      <c r="D30" s="3"/>
      <c r="E30" s="3"/>
      <c r="F30" s="3"/>
      <c r="G30" s="282">
        <f>'Rate Proposal - 3 year'!F189</f>
        <v>0</v>
      </c>
    </row>
    <row r="31" spans="1:13" ht="15" thickBot="1" x14ac:dyDescent="0.4">
      <c r="A31" s="70" t="str">
        <f>"Estimated Cost of Facility Capital"</f>
        <v>Estimated Cost of Facility Capital</v>
      </c>
      <c r="B31" s="283"/>
      <c r="C31" s="283"/>
      <c r="D31" s="283"/>
      <c r="E31" s="283"/>
      <c r="F31" s="283"/>
      <c r="G31" s="284">
        <f>'Rate Proposal - 3 year'!F190</f>
        <v>0</v>
      </c>
    </row>
    <row r="32" spans="1:13" ht="13.5" thickBot="1" x14ac:dyDescent="0.35"/>
    <row r="33" spans="1:7" ht="15" thickBot="1" x14ac:dyDescent="0.4">
      <c r="A33" s="285" t="s">
        <v>357</v>
      </c>
      <c r="B33" s="286"/>
      <c r="C33" s="286"/>
      <c r="D33" s="286"/>
      <c r="E33" s="286"/>
      <c r="F33" s="286"/>
      <c r="G33" s="259">
        <f>year</f>
        <v>2021</v>
      </c>
    </row>
    <row r="34" spans="1:7" ht="14.5" x14ac:dyDescent="0.35">
      <c r="A34" s="64" t="s">
        <v>358</v>
      </c>
      <c r="B34" s="3"/>
      <c r="C34" s="3"/>
      <c r="D34" s="3"/>
      <c r="E34" s="3"/>
      <c r="F34" s="3"/>
      <c r="G34" s="282">
        <f>'Table1 - 3 year'!I7/12</f>
        <v>0</v>
      </c>
    </row>
    <row r="35" spans="1:7" ht="15" thickBot="1" x14ac:dyDescent="0.4">
      <c r="A35" s="70" t="s">
        <v>359</v>
      </c>
      <c r="B35" s="283"/>
      <c r="C35" s="283"/>
      <c r="D35" s="283"/>
      <c r="E35" s="283"/>
      <c r="F35" s="283"/>
      <c r="G35" s="284" t="e">
        <f>'Table1 - 3 year'!I14/12</f>
        <v>#DIV/0!</v>
      </c>
    </row>
  </sheetData>
  <sheetProtection algorithmName="SHA-512" hashValue="tMreSuQ7md9rngFL8tgyGt1DHgtou7dIfsR6dLKW7Imuj7wy3Y3AmWa6OYxktFLj7WltZtaiRoOBxLtWJc/dDw==" saltValue="9X8iRkhCXGAc9/Tu0I6XPQ==" spinCount="100000" sheet="1" objects="1" scenarios="1"/>
  <mergeCells count="9">
    <mergeCell ref="K3:M3"/>
    <mergeCell ref="K1:M1"/>
    <mergeCell ref="A2:G2"/>
    <mergeCell ref="H2:J2"/>
    <mergeCell ref="K2:M2"/>
    <mergeCell ref="A1:G1"/>
    <mergeCell ref="H1:J1"/>
    <mergeCell ref="A3:G3"/>
    <mergeCell ref="H3:J3"/>
  </mergeCells>
  <phoneticPr fontId="3" type="noConversion"/>
  <printOptions horizontalCentered="1"/>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indexed="60"/>
  </sheetPr>
  <dimension ref="A1:R238"/>
  <sheetViews>
    <sheetView zoomScaleNormal="100" workbookViewId="0">
      <selection activeCell="G41" sqref="G41"/>
    </sheetView>
  </sheetViews>
  <sheetFormatPr defaultColWidth="9.1796875" defaultRowHeight="14.5" x14ac:dyDescent="0.35"/>
  <cols>
    <col min="1" max="9" width="17.7265625" style="164" customWidth="1"/>
    <col min="10" max="13" width="9.1796875" style="164" customWidth="1"/>
    <col min="14" max="16" width="9.1796875" style="164"/>
    <col min="17" max="18" width="9.1796875" style="164" customWidth="1"/>
    <col min="19" max="16384" width="9.1796875" style="164"/>
  </cols>
  <sheetData>
    <row r="1" spans="1:18" s="54" customFormat="1" ht="23.5" x14ac:dyDescent="0.55000000000000004">
      <c r="A1" s="469" t="s">
        <v>220</v>
      </c>
      <c r="B1" s="469"/>
      <c r="C1" s="469"/>
      <c r="D1" s="469"/>
      <c r="E1" s="469"/>
      <c r="F1" s="469"/>
      <c r="G1" s="469"/>
      <c r="H1" s="379"/>
      <c r="I1" s="305"/>
      <c r="Q1" s="76"/>
      <c r="R1" s="4"/>
    </row>
    <row r="2" spans="1:18" s="54" customFormat="1" x14ac:dyDescent="0.35">
      <c r="A2" s="470" t="str">
        <f xml:space="preserve"> Plan &amp; " - " &amp;IF(Option="1, 3, 2", Code&amp;"1, "&amp;Code&amp;"3, "&amp;Code&amp;"2", IF(Option="4, 6, 5", Code&amp;"4, "&amp;Code&amp;"6, "&amp;Code&amp;"5", ""))</f>
        <v xml:space="preserve"> - </v>
      </c>
      <c r="B2" s="470"/>
      <c r="C2" s="470"/>
      <c r="D2" s="470"/>
      <c r="E2" s="470"/>
      <c r="F2" s="470"/>
      <c r="G2" s="470"/>
      <c r="H2" s="307"/>
      <c r="I2" s="307"/>
      <c r="J2" s="307"/>
      <c r="K2" s="307"/>
      <c r="Q2" s="76"/>
      <c r="R2" s="4"/>
    </row>
    <row r="3" spans="1:18" s="54" customFormat="1" x14ac:dyDescent="0.35">
      <c r="A3" s="480" t="s">
        <v>14</v>
      </c>
      <c r="B3" s="480"/>
      <c r="C3" s="480"/>
      <c r="D3" s="480"/>
      <c r="E3" s="480"/>
      <c r="F3" s="480"/>
      <c r="G3" s="480"/>
      <c r="H3" s="297"/>
      <c r="I3" s="305"/>
      <c r="Q3" s="76"/>
      <c r="R3" s="4"/>
    </row>
    <row r="4" spans="1:18" s="54" customFormat="1" x14ac:dyDescent="0.35">
      <c r="H4" s="380"/>
    </row>
    <row r="5" spans="1:18" s="54" customFormat="1" x14ac:dyDescent="0.35">
      <c r="A5" s="54" t="str">
        <f>"2. Enter your " &amp;year-1&amp; " and " &amp;year&amp; " rate and enrollment information:"</f>
        <v>2. Enter your 2020 and 2021 rate and enrollment information:</v>
      </c>
      <c r="H5" s="7"/>
    </row>
    <row r="6" spans="1:18" s="54" customFormat="1" x14ac:dyDescent="0.35">
      <c r="H6" s="7"/>
    </row>
    <row r="7" spans="1:18" s="54" customFormat="1" x14ac:dyDescent="0.35">
      <c r="B7" s="54" t="s">
        <v>5</v>
      </c>
      <c r="G7" s="65"/>
      <c r="H7" s="12"/>
      <c r="L7" s="76"/>
    </row>
    <row r="8" spans="1:18" s="54" customFormat="1" x14ac:dyDescent="0.35">
      <c r="B8" s="54" t="s">
        <v>15</v>
      </c>
      <c r="D8" s="54" t="s">
        <v>74</v>
      </c>
      <c r="F8" s="54" t="s">
        <v>16</v>
      </c>
      <c r="G8" s="65"/>
      <c r="H8" s="12"/>
      <c r="L8" s="76"/>
    </row>
    <row r="9" spans="1:18" s="54" customFormat="1" x14ac:dyDescent="0.35">
      <c r="B9" s="54" t="s">
        <v>7</v>
      </c>
      <c r="D9" s="54" t="s">
        <v>28</v>
      </c>
      <c r="F9" s="54" t="s">
        <v>30</v>
      </c>
      <c r="G9" s="65"/>
      <c r="H9" s="12"/>
    </row>
    <row r="10" spans="1:18" s="54" customFormat="1" ht="15" thickBot="1" x14ac:dyDescent="0.4">
      <c r="A10" s="142">
        <f>year-1</f>
        <v>2020</v>
      </c>
      <c r="G10" s="65"/>
      <c r="H10" s="12"/>
    </row>
    <row r="11" spans="1:18" s="54" customFormat="1" ht="15" thickBot="1" x14ac:dyDescent="0.4">
      <c r="A11" s="54" t="s">
        <v>33</v>
      </c>
      <c r="B11" s="88"/>
      <c r="C11" s="143" t="s">
        <v>40</v>
      </c>
      <c r="D11" s="144"/>
      <c r="E11" s="143" t="s">
        <v>36</v>
      </c>
      <c r="F11" s="145">
        <f>B11*D11*26</f>
        <v>0</v>
      </c>
      <c r="G11" s="146"/>
      <c r="H11" s="12"/>
    </row>
    <row r="12" spans="1:18" s="54" customFormat="1" ht="15" thickBot="1" x14ac:dyDescent="0.4">
      <c r="A12" s="54" t="s">
        <v>190</v>
      </c>
      <c r="B12" s="88"/>
      <c r="C12" s="143" t="s">
        <v>40</v>
      </c>
      <c r="D12" s="144"/>
      <c r="E12" s="143" t="s">
        <v>36</v>
      </c>
      <c r="F12" s="145">
        <f>B12*D12*26</f>
        <v>0</v>
      </c>
      <c r="G12" s="146"/>
      <c r="H12" s="12"/>
    </row>
    <row r="13" spans="1:18" s="54" customFormat="1" ht="15" thickBot="1" x14ac:dyDescent="0.4">
      <c r="A13" s="54" t="s">
        <v>34</v>
      </c>
      <c r="B13" s="88"/>
      <c r="C13" s="143" t="s">
        <v>40</v>
      </c>
      <c r="D13" s="144"/>
      <c r="E13" s="147" t="s">
        <v>36</v>
      </c>
      <c r="F13" s="148">
        <f>B13*D13*26</f>
        <v>0</v>
      </c>
      <c r="G13" s="146"/>
      <c r="H13" s="12"/>
    </row>
    <row r="14" spans="1:18" s="54" customFormat="1" x14ac:dyDescent="0.35">
      <c r="A14" s="54" t="s">
        <v>35</v>
      </c>
      <c r="B14" s="7"/>
      <c r="D14" s="261">
        <f>SUM(D11:D13)</f>
        <v>0</v>
      </c>
      <c r="F14" s="262">
        <f>SUM(F11:F13)</f>
        <v>0</v>
      </c>
      <c r="G14" s="146"/>
      <c r="H14" s="12"/>
    </row>
    <row r="15" spans="1:18" s="54" customFormat="1" x14ac:dyDescent="0.35">
      <c r="B15" s="7"/>
      <c r="G15" s="65"/>
      <c r="H15" s="12"/>
    </row>
    <row r="16" spans="1:18" s="54" customFormat="1" ht="15" thickBot="1" x14ac:dyDescent="0.4">
      <c r="A16" s="32" t="str">
        <f>year &amp;"  (Projected)"</f>
        <v>2021  (Projected)</v>
      </c>
      <c r="B16" s="7"/>
      <c r="G16" s="65"/>
      <c r="H16" s="12"/>
    </row>
    <row r="17" spans="1:10" s="54" customFormat="1" ht="15" thickBot="1" x14ac:dyDescent="0.4">
      <c r="A17" s="54" t="s">
        <v>33</v>
      </c>
      <c r="B17" s="88"/>
      <c r="C17" s="143" t="s">
        <v>40</v>
      </c>
      <c r="D17" s="144"/>
      <c r="E17" s="143" t="s">
        <v>36</v>
      </c>
      <c r="F17" s="145">
        <f>B17*D17*26</f>
        <v>0</v>
      </c>
      <c r="G17" s="146"/>
      <c r="H17" s="12"/>
    </row>
    <row r="18" spans="1:10" s="54" customFormat="1" ht="15" thickBot="1" x14ac:dyDescent="0.4">
      <c r="A18" s="54" t="s">
        <v>190</v>
      </c>
      <c r="B18" s="88"/>
      <c r="C18" s="143" t="s">
        <v>40</v>
      </c>
      <c r="D18" s="144"/>
      <c r="E18" s="143" t="s">
        <v>36</v>
      </c>
      <c r="F18" s="145">
        <f>B18*D18*26</f>
        <v>0</v>
      </c>
      <c r="G18" s="146"/>
      <c r="H18" s="12"/>
    </row>
    <row r="19" spans="1:10" s="54" customFormat="1" ht="15" thickBot="1" x14ac:dyDescent="0.4">
      <c r="A19" s="54" t="s">
        <v>34</v>
      </c>
      <c r="B19" s="88"/>
      <c r="C19" s="143" t="s">
        <v>40</v>
      </c>
      <c r="D19" s="144"/>
      <c r="E19" s="143" t="s">
        <v>36</v>
      </c>
      <c r="F19" s="148">
        <f>B19*D19*26</f>
        <v>0</v>
      </c>
      <c r="G19" s="146"/>
      <c r="H19" s="65"/>
    </row>
    <row r="20" spans="1:10" s="54" customFormat="1" x14ac:dyDescent="0.35">
      <c r="A20" s="54" t="s">
        <v>35</v>
      </c>
      <c r="D20" s="149">
        <f>SUM(D17:D19)</f>
        <v>0</v>
      </c>
      <c r="F20" s="148">
        <f>SUM(F17:F19)</f>
        <v>0</v>
      </c>
      <c r="G20" s="146"/>
      <c r="H20" s="65"/>
    </row>
    <row r="21" spans="1:10" s="7" customFormat="1" x14ac:dyDescent="0.35">
      <c r="D21" s="355"/>
      <c r="F21" s="356"/>
      <c r="G21" s="356"/>
      <c r="H21" s="12"/>
    </row>
    <row r="22" spans="1:10" s="7" customFormat="1" ht="15" thickBot="1" x14ac:dyDescent="0.4">
      <c r="A22" s="7" t="str">
        <f>"3. The table below can be used to estimate the "&amp;year&amp;" Enrollee Contribution. Please see the 'Help' sheet for more details."</f>
        <v>3. The table below can be used to estimate the 2021 Enrollee Contribution. Please see the 'Help' sheet for more details.</v>
      </c>
      <c r="B22" s="9"/>
      <c r="D22" s="24"/>
      <c r="F22" s="25"/>
      <c r="H22" s="27"/>
      <c r="I22" s="266"/>
      <c r="J22" s="268"/>
    </row>
    <row r="23" spans="1:10" s="7" customFormat="1" ht="15" thickBot="1" x14ac:dyDescent="0.4">
      <c r="B23" s="8"/>
      <c r="C23" s="8"/>
      <c r="D23" s="8" t="s">
        <v>336</v>
      </c>
      <c r="E23" s="315" t="s">
        <v>334</v>
      </c>
      <c r="F23" s="25"/>
      <c r="H23" s="27"/>
      <c r="I23" s="266"/>
      <c r="J23" s="268"/>
    </row>
    <row r="24" spans="1:10" s="7" customFormat="1" x14ac:dyDescent="0.35">
      <c r="A24" s="9"/>
      <c r="B24" s="9"/>
      <c r="D24" s="24"/>
      <c r="F24" s="25"/>
      <c r="H24" s="27"/>
      <c r="I24" s="266"/>
      <c r="J24" s="268"/>
    </row>
    <row r="25" spans="1:10" s="7" customFormat="1" ht="15" thickBot="1" x14ac:dyDescent="0.4">
      <c r="A25" s="4"/>
      <c r="B25" s="7" t="str">
        <f>"For "&amp;year-1&amp;", the Government Contribution is the lesser of:"</f>
        <v>For 2020, the Government Contribution is the lesser of:</v>
      </c>
      <c r="D25" s="27"/>
      <c r="F25" s="7" t="str">
        <f>"For "&amp;year&amp;", the Government Contribution is the lesser of:"</f>
        <v>For 2021, the Government Contribution is the lesser of:</v>
      </c>
      <c r="H25" s="4"/>
      <c r="I25" s="292"/>
      <c r="J25" s="293"/>
    </row>
    <row r="26" spans="1:10" s="7" customFormat="1" ht="15" thickBot="1" x14ac:dyDescent="0.4">
      <c r="A26" s="4"/>
      <c r="B26" s="287">
        <v>0.75</v>
      </c>
      <c r="C26" s="7" t="s">
        <v>206</v>
      </c>
      <c r="D26" s="24"/>
      <c r="F26" s="287">
        <v>0.75</v>
      </c>
      <c r="G26" s="7" t="s">
        <v>206</v>
      </c>
      <c r="H26" s="4"/>
      <c r="I26" s="292"/>
      <c r="J26" s="293"/>
    </row>
    <row r="27" spans="1:10" s="7" customFormat="1" ht="15" thickBot="1" x14ac:dyDescent="0.4">
      <c r="A27" s="4"/>
      <c r="B27" s="288">
        <v>0.72</v>
      </c>
      <c r="C27" s="7" t="s">
        <v>207</v>
      </c>
      <c r="D27" s="24"/>
      <c r="F27" s="288">
        <v>0.72</v>
      </c>
      <c r="G27" s="7" t="s">
        <v>207</v>
      </c>
      <c r="H27" s="4"/>
      <c r="I27" s="293"/>
      <c r="J27" s="293"/>
    </row>
    <row r="28" spans="1:10" s="7" customFormat="1" ht="15" customHeight="1" x14ac:dyDescent="0.35">
      <c r="A28" s="354"/>
      <c r="B28" s="210"/>
      <c r="C28" s="290"/>
      <c r="D28" s="210"/>
      <c r="E28" s="354"/>
      <c r="F28" s="210"/>
      <c r="G28" s="4"/>
      <c r="H28" s="4"/>
      <c r="I28" s="293"/>
      <c r="J28" s="293"/>
    </row>
    <row r="29" spans="1:10" s="7" customFormat="1" ht="15" customHeight="1" x14ac:dyDescent="0.35">
      <c r="A29" s="449"/>
      <c r="B29" s="485" t="s">
        <v>203</v>
      </c>
      <c r="C29" s="486" t="str">
        <f>"Est. "&amp;year&amp;" Max. Gov't Contrib."</f>
        <v>Est. 2021 Max. Gov't Contrib.</v>
      </c>
      <c r="D29" s="486" t="str">
        <f>"Est. "&amp;year&amp;" Gov't Contribution"</f>
        <v>Est. 2021 Gov't Contribution</v>
      </c>
      <c r="E29" s="486" t="str">
        <f>year-1&amp;" Enrollee Contribution"</f>
        <v>2020 Enrollee Contribution</v>
      </c>
      <c r="F29" s="486" t="str">
        <f>"Est. "&amp;year&amp;" Enrollee Contribution"</f>
        <v>Est. 2021 Enrollee Contribution</v>
      </c>
      <c r="G29" s="487" t="s">
        <v>198</v>
      </c>
      <c r="H29" s="291"/>
      <c r="I29" s="441" t="str">
        <f ca="1">"NOTE: The non-Postal and annuitant Government Contribution formula of 75% and 72% has been input in cells "&amp;MID(CELL("address", B26), 2, 1)&amp;RIGHT(CELL("address", B26),2)&amp;"-"&amp;MID(CELL("address", B27), 2, 1)&amp;RIGHT(CELL("address", B27),2)&amp;" and "&amp;MID(CELL("address", F26), 2, 1)&amp;RIGHT(CELL("address", F26),2)&amp;"-"&amp;MID(CELL("address", F27), 2, 1)&amp;RIGHT(CELL("address", F27),2)&amp;", but can be changed to make estimations for different contribution formulas."</f>
        <v>NOTE: The non-Postal and annuitant Government Contribution formula of 75% and 72% has been input in cells B26-B27 and F26-F27, but can be changed to make estimations for different contribution formulas.</v>
      </c>
      <c r="J29" s="442"/>
    </row>
    <row r="30" spans="1:10" s="7" customFormat="1" ht="15" thickBot="1" x14ac:dyDescent="0.4">
      <c r="A30" s="449"/>
      <c r="B30" s="485"/>
      <c r="C30" s="486"/>
      <c r="D30" s="486"/>
      <c r="E30" s="486"/>
      <c r="F30" s="486"/>
      <c r="G30" s="488"/>
      <c r="H30" s="291"/>
      <c r="I30" s="443"/>
      <c r="J30" s="444"/>
    </row>
    <row r="31" spans="1:10" s="7" customFormat="1" ht="15" thickBot="1" x14ac:dyDescent="0.4">
      <c r="A31" s="301" t="s">
        <v>33</v>
      </c>
      <c r="B31" s="289">
        <v>0</v>
      </c>
      <c r="C31" s="279">
        <f>IF($E$23="Bi-Weekly", ROUND(ROUND(GovtMaxS*$F$27,2)*(1+B31), 2), ROUND(ROUND(ROUND(GovtMaxS*$F$27,2)*(1+B31), 2)*26/12, 2))</f>
        <v>235.77</v>
      </c>
      <c r="D31" s="277">
        <f>IF($E$23="Bi-Weekly", ROUND(MIN(C31, ROUND(B17*1.04, 2)*$F$26),2), ROUND(MIN(C31, ROUND(ROUND(B17*1.04, 2)*(26/12),2)*$F$26),2))</f>
        <v>0</v>
      </c>
      <c r="E31" s="277">
        <f>IF($E$23="Bi-Weekly",ROUND(B11*1.04,2)-MIN(ROUND(GovtMaxS*$B$27,2),ROUND(ROUND(B11*1.04,2)*$B$26,2)),ROUND(ROUND(B11*1.04,2)*26/12,2)-MIN(ROUND(ROUND(GovtMaxS*$B$27,2)*26/12, 2),ROUND(ROUND(ROUND(B11*1.04,2)*26/12,2)*$B$26,2)))</f>
        <v>0</v>
      </c>
      <c r="F31" s="277">
        <f>IF($E$23="Bi-Weekly",ROUND(B17*1.04, 2)-D31,ROUND(ROUND(B17*1.04,2)*26/12,2)-D31)</f>
        <v>0</v>
      </c>
      <c r="G31" s="336" t="e">
        <f>F31/E31-1</f>
        <v>#DIV/0!</v>
      </c>
      <c r="H31" s="291"/>
      <c r="I31" s="443"/>
      <c r="J31" s="444"/>
    </row>
    <row r="32" spans="1:10" s="7" customFormat="1" ht="15" thickBot="1" x14ac:dyDescent="0.4">
      <c r="A32" s="301" t="s">
        <v>190</v>
      </c>
      <c r="B32" s="289">
        <v>0</v>
      </c>
      <c r="C32" s="279">
        <f>IF($E$23="Bi-Weekly", ROUND(ROUND(GovtMaxP*$F$27,2)*(1+B32), 2), ROUND(ROUND(ROUND(GovtMaxP*$F$27,2)*(1+B32), 2)*26/12, 2))</f>
        <v>504.12</v>
      </c>
      <c r="D32" s="277">
        <f t="shared" ref="D32:D33" si="0">IF($E$23="Bi-Weekly", ROUND(MIN(C32, ROUND(B18*1.04, 2)*$F$26),2), ROUND(MIN(C32, ROUND(ROUND(B18*1.04, 2)*(26/12),2)*$F$26),2))</f>
        <v>0</v>
      </c>
      <c r="E32" s="277">
        <f>IF($E$23="Bi-Weekly",ROUND(B12*1.04,2)-MIN(ROUND(GovtMaxP*$B$27,2),ROUND(ROUND(B12*1.04,2)*$B$26,2)),ROUND(ROUND(B12*1.04,2)*26/12,2)-MIN(ROUND(ROUND(GovtMaxP*$B$27,2)*26/12, 2),ROUND(ROUND(ROUND(B12*1.04,2)*26/12,2)*$B$26,2)))</f>
        <v>0</v>
      </c>
      <c r="F32" s="277">
        <f t="shared" ref="F32:F33" si="1">IF($E$23="Bi-Weekly",ROUND(B18*1.04, 2)-D32,ROUND(ROUND(B18*1.04,2)*26/12,2)-D32)</f>
        <v>0</v>
      </c>
      <c r="G32" s="336" t="e">
        <f>F32/E32-1</f>
        <v>#DIV/0!</v>
      </c>
      <c r="H32" s="291"/>
      <c r="I32" s="443"/>
      <c r="J32" s="444"/>
    </row>
    <row r="33" spans="1:10" s="7" customFormat="1" ht="15" thickBot="1" x14ac:dyDescent="0.4">
      <c r="A33" s="301" t="s">
        <v>34</v>
      </c>
      <c r="B33" s="289">
        <v>0</v>
      </c>
      <c r="C33" s="279">
        <f>IF($E$23="Bi-Weekly", ROUND(ROUND(GovtMaxF*$F$27,2)*(1+B33), 2), ROUND(ROUND(ROUND(GovtMaxF*$F$27,2)*(1+B33), 2)*26/12, 2))</f>
        <v>546.47</v>
      </c>
      <c r="D33" s="277">
        <f t="shared" si="0"/>
        <v>0</v>
      </c>
      <c r="E33" s="277">
        <f>IF($E$23="Bi-Weekly",ROUND(B13*1.04,2)-MIN(ROUND(GovtMaxF*$B$27,2),ROUND(ROUND(B13*1.04,2)*$B$26,2)),ROUND(ROUND(B13*1.04,2)*26/12,2)-MIN(ROUND(ROUND(GovtMaxF*$B$27,2)*26/12, 2),ROUND(ROUND(ROUND(B13*1.04,2)*26/12,2)*$B$26,2)))</f>
        <v>0</v>
      </c>
      <c r="F33" s="277">
        <f t="shared" si="1"/>
        <v>0</v>
      </c>
      <c r="G33" s="336" t="e">
        <f>F33/E33-1</f>
        <v>#DIV/0!</v>
      </c>
      <c r="H33" s="225"/>
      <c r="I33" s="443"/>
      <c r="J33" s="444"/>
    </row>
    <row r="34" spans="1:10" s="7" customFormat="1" ht="15" customHeight="1" x14ac:dyDescent="0.35">
      <c r="A34" s="278"/>
      <c r="B34" s="476" t="str">
        <f ca="1">"** The estimated increase to the maximum Government Contribution should be based on the assumption of the Government Contribution formula remaining the same year over year.  The impact of any change in the Government Contribution formula (cells "&amp;MID(CELL("address", B26), 2, 1)&amp;RIGHT(CELL("address", B26),2)&amp;"-"&amp;MID(CELL("address", B27), 2, 1)&amp;RIGHT(CELL("address", B27),2)&amp;" and "&amp;MID(CELL("address", F26), 2, 1)&amp;RIGHT(CELL("address", F26),2)&amp;"-"&amp;MID(CELL("address", F27), 2, 1)&amp;RIGHT(CELL("address", F27),2)&amp;")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B26-B27 and F26-F27) is already reflected in our calculations.</v>
      </c>
      <c r="C34" s="476"/>
      <c r="D34" s="476"/>
      <c r="E34" s="476"/>
      <c r="F34" s="476"/>
      <c r="G34" s="476"/>
      <c r="H34" s="225"/>
      <c r="I34" s="445"/>
      <c r="J34" s="446"/>
    </row>
    <row r="35" spans="1:10" s="7" customFormat="1" x14ac:dyDescent="0.35">
      <c r="A35" s="278"/>
      <c r="B35" s="476"/>
      <c r="C35" s="476"/>
      <c r="D35" s="476"/>
      <c r="E35" s="476"/>
      <c r="F35" s="476"/>
      <c r="G35" s="476"/>
      <c r="H35" s="225"/>
    </row>
    <row r="36" spans="1:10" s="7" customFormat="1" x14ac:dyDescent="0.35">
      <c r="B36" s="476"/>
      <c r="C36" s="476"/>
      <c r="D36" s="476"/>
      <c r="E36" s="476"/>
      <c r="F36" s="476"/>
      <c r="G36" s="476"/>
      <c r="H36" s="12"/>
    </row>
    <row r="37" spans="1:10" s="7" customFormat="1" ht="15" thickBot="1" x14ac:dyDescent="0.4">
      <c r="B37" s="357"/>
      <c r="C37" s="357"/>
      <c r="D37" s="357"/>
      <c r="E37" s="357"/>
      <c r="F37" s="357"/>
      <c r="G37" s="357"/>
      <c r="H37" s="12"/>
    </row>
    <row r="38" spans="1:10" s="54" customFormat="1" ht="15" thickBot="1" x14ac:dyDescent="0.4">
      <c r="A38" s="54" t="str">
        <f>"4. (b) As of 4/30/"&amp;year-1&amp;" what were the claims paid in "&amp;year-1&amp;" for services incurred in "&amp;year-1&amp;"?"</f>
        <v>4. (b) As of 4/30/2020 what were the claims paid in 2020 for services incurred in 2020?</v>
      </c>
      <c r="G38" s="119"/>
    </row>
    <row r="39" spans="1:10" s="54" customFormat="1" ht="15" thickBot="1" x14ac:dyDescent="0.4">
      <c r="A39" s="54" t="str">
        <f>"     (c) What is your estimate of ultimate claims for " &amp;year-1&amp; "?"</f>
        <v xml:space="preserve">     (c) What is your estimate of ultimate claims for 2020?</v>
      </c>
      <c r="G39" s="150"/>
    </row>
    <row r="40" spans="1:10" s="54" customFormat="1" ht="15" thickBot="1" x14ac:dyDescent="0.4">
      <c r="A40" s="54" t="str">
        <f>"                     Portion paid as of 4/30/" &amp;year-1</f>
        <v xml:space="preserve">                     Portion paid as of 4/30/2020</v>
      </c>
      <c r="G40" s="151" t="e">
        <f>G38/G39</f>
        <v>#DIV/0!</v>
      </c>
    </row>
    <row r="41" spans="1:10" s="54" customFormat="1" ht="15" thickBot="1" x14ac:dyDescent="0.4">
      <c r="A41" s="54" t="str">
        <f>"     (d) What portion of ultimate " &amp;year-1&amp; " claims will be paid as of 12/31/" &amp;year-1&amp; "?"</f>
        <v xml:space="preserve">     (d) What portion of ultimate 2020 claims will be paid as of 12/31/2020?</v>
      </c>
      <c r="G41" s="406"/>
    </row>
    <row r="42" spans="1:10" s="54" customFormat="1" x14ac:dyDescent="0.35"/>
    <row r="43" spans="1:10" s="54" customFormat="1" x14ac:dyDescent="0.35">
      <c r="A43" s="54" t="str">
        <f>"5. What is your estimated change in enrollment factor for "&amp;year-1&amp;" to "&amp;year&amp;"?"</f>
        <v>5. What is your estimated change in enrollment factor for 2020 to 2021?</v>
      </c>
      <c r="G43" s="402" t="e">
        <f>(B11*D17+B12*D18+B13*D19)/(B11*D11+B12*D12+B13*D13)</f>
        <v>#DIV/0!</v>
      </c>
    </row>
    <row r="44" spans="1:10" s="54" customFormat="1" ht="15" thickBot="1" x14ac:dyDescent="0.4"/>
    <row r="45" spans="1:10" s="54" customFormat="1" ht="15" thickBot="1" x14ac:dyDescent="0.4">
      <c r="A45" s="54" t="str">
        <f>"6. What is your estimated change in benefits factor for " &amp;year-1&amp; " to " &amp;year&amp; "?"</f>
        <v>6. What is your estimated change in benefits factor for 2020 to 2021?</v>
      </c>
      <c r="C45" s="102"/>
      <c r="G45" s="152"/>
    </row>
    <row r="46" spans="1:10" s="54" customFormat="1" ht="15" thickBot="1" x14ac:dyDescent="0.4"/>
    <row r="47" spans="1:10" s="54" customFormat="1" ht="15" thickBot="1" x14ac:dyDescent="0.4">
      <c r="A47" s="54" t="str">
        <f>"7. What trend factor is projected for " &amp;year-1&amp; " to " &amp;year&amp; "?"</f>
        <v>7. What trend factor is projected for 2020 to 2021?</v>
      </c>
      <c r="G47" s="152"/>
    </row>
    <row r="48" spans="1:10" s="54" customFormat="1" ht="15" thickBot="1" x14ac:dyDescent="0.4"/>
    <row r="49" spans="1:7" s="54" customFormat="1" ht="15" thickBot="1" x14ac:dyDescent="0.4">
      <c r="A49" s="54" t="str">
        <f>"8. What selection factor is projected for " &amp;year-1&amp; " to " &amp;year&amp; "?"</f>
        <v>8. What selection factor is projected for 2020 to 2021?</v>
      </c>
      <c r="G49" s="152"/>
    </row>
    <row r="50" spans="1:7" s="54" customFormat="1" ht="15" thickBot="1" x14ac:dyDescent="0.4"/>
    <row r="51" spans="1:7" s="54" customFormat="1" ht="15" thickBot="1" x14ac:dyDescent="0.4">
      <c r="A51" s="54" t="str">
        <f>"9. What other factors, if any, will have an effect upon incurred claims from " &amp;year-1&amp; " to " &amp;year&amp; "?"</f>
        <v>9. What other factors, if any, will have an effect upon incurred claims from 2020 to 2021?</v>
      </c>
      <c r="G51" s="152"/>
    </row>
    <row r="52" spans="1:7" s="54" customFormat="1" x14ac:dyDescent="0.35"/>
    <row r="53" spans="1:7" s="54" customFormat="1" x14ac:dyDescent="0.35">
      <c r="A53" s="54" t="s">
        <v>221</v>
      </c>
    </row>
    <row r="54" spans="1:7" s="54" customFormat="1" x14ac:dyDescent="0.35"/>
    <row r="55" spans="1:7" s="54" customFormat="1" x14ac:dyDescent="0.35">
      <c r="B55" s="473" t="s">
        <v>62</v>
      </c>
      <c r="C55" s="473"/>
      <c r="D55" s="473"/>
      <c r="E55" s="473"/>
      <c r="F55" s="473"/>
    </row>
    <row r="56" spans="1:7" s="54" customFormat="1" x14ac:dyDescent="0.35">
      <c r="A56" s="101" t="s">
        <v>68</v>
      </c>
      <c r="B56" s="153" t="s">
        <v>28</v>
      </c>
      <c r="C56" s="153" t="s">
        <v>63</v>
      </c>
      <c r="D56" s="153" t="s">
        <v>51</v>
      </c>
      <c r="E56" s="153" t="s">
        <v>56</v>
      </c>
      <c r="F56" s="153" t="s">
        <v>64</v>
      </c>
      <c r="G56" s="153" t="s">
        <v>65</v>
      </c>
    </row>
    <row r="57" spans="1:7" s="54" customFormat="1" x14ac:dyDescent="0.35">
      <c r="A57" s="32">
        <f>year-1</f>
        <v>2020</v>
      </c>
      <c r="B57" s="154"/>
      <c r="C57" s="154"/>
      <c r="D57" s="155"/>
      <c r="E57" s="154"/>
      <c r="F57" s="154"/>
      <c r="G57" s="156">
        <f>G39</f>
        <v>0</v>
      </c>
    </row>
    <row r="58" spans="1:7" s="54" customFormat="1" x14ac:dyDescent="0.35">
      <c r="A58" s="32">
        <f>year</f>
        <v>2021</v>
      </c>
      <c r="B58" s="157" t="e">
        <f>G43</f>
        <v>#DIV/0!</v>
      </c>
      <c r="C58" s="158">
        <f>G45</f>
        <v>0</v>
      </c>
      <c r="D58" s="159">
        <f>G47</f>
        <v>0</v>
      </c>
      <c r="E58" s="160">
        <f>G49</f>
        <v>0</v>
      </c>
      <c r="F58" s="157">
        <f>G51</f>
        <v>0</v>
      </c>
      <c r="G58" s="156" t="e">
        <f>G57*B58*C58*D58*E58*F58</f>
        <v>#DIV/0!</v>
      </c>
    </row>
    <row r="59" spans="1:7" s="54" customFormat="1" x14ac:dyDescent="0.35"/>
    <row r="60" spans="1:7" s="54" customFormat="1" x14ac:dyDescent="0.35"/>
    <row r="61" spans="1:7" s="54" customFormat="1" x14ac:dyDescent="0.35">
      <c r="A61" s="54" t="s">
        <v>216</v>
      </c>
    </row>
    <row r="62" spans="1:7" s="54" customFormat="1" x14ac:dyDescent="0.35"/>
    <row r="63" spans="1:7" s="54" customFormat="1" x14ac:dyDescent="0.35">
      <c r="A63" s="54" t="str">
        <f>"    (a) 12/31/" &amp;year-1&amp; " estimated accrued claims reserve"</f>
        <v xml:space="preserve">    (a) 12/31/2020 estimated accrued claims reserve</v>
      </c>
      <c r="G63" s="145">
        <f>G57*(1-G41)</f>
        <v>0</v>
      </c>
    </row>
    <row r="64" spans="1:7" s="54" customFormat="1" x14ac:dyDescent="0.35">
      <c r="A64" s="54" t="str">
        <f>"    (b) 12/31/" &amp;year&amp; " estimated accrued claims reserve"</f>
        <v xml:space="preserve">    (b) 12/31/2021 estimated accrued claims reserve</v>
      </c>
      <c r="G64" s="145" t="e">
        <f>G58*(1-G41)</f>
        <v>#DIV/0!</v>
      </c>
    </row>
    <row r="65" spans="1:7" s="54" customFormat="1" x14ac:dyDescent="0.35"/>
    <row r="66" spans="1:7" s="54" customFormat="1" x14ac:dyDescent="0.35">
      <c r="A66" s="54" t="s">
        <v>217</v>
      </c>
    </row>
    <row r="67" spans="1:7" s="54" customFormat="1" x14ac:dyDescent="0.35"/>
    <row r="68" spans="1:7" s="54" customFormat="1" x14ac:dyDescent="0.35">
      <c r="A68" s="54" t="s">
        <v>17</v>
      </c>
      <c r="B68" s="54" t="s">
        <v>68</v>
      </c>
      <c r="C68" s="54" t="s">
        <v>71</v>
      </c>
      <c r="E68" s="54" t="s">
        <v>61</v>
      </c>
      <c r="G68" s="54" t="s">
        <v>18</v>
      </c>
    </row>
    <row r="69" spans="1:7" s="54" customFormat="1" ht="15" thickBot="1" x14ac:dyDescent="0.4">
      <c r="C69" s="54" t="s">
        <v>69</v>
      </c>
      <c r="E69" s="54" t="s">
        <v>70</v>
      </c>
      <c r="G69" s="54" t="s">
        <v>70</v>
      </c>
    </row>
    <row r="70" spans="1:7" s="54" customFormat="1" ht="15" thickBot="1" x14ac:dyDescent="0.4">
      <c r="B70" s="54">
        <f>year-1</f>
        <v>2020</v>
      </c>
      <c r="C70" s="150"/>
      <c r="E70" s="150"/>
      <c r="G70" s="145">
        <f>C70+E70</f>
        <v>0</v>
      </c>
    </row>
    <row r="71" spans="1:7" s="54" customFormat="1" ht="15" thickBot="1" x14ac:dyDescent="0.4">
      <c r="B71" s="54">
        <f>year</f>
        <v>2021</v>
      </c>
      <c r="C71" s="150"/>
      <c r="E71" s="150"/>
      <c r="G71" s="148">
        <f>C71+E71</f>
        <v>0</v>
      </c>
    </row>
    <row r="72" spans="1:7" s="54" customFormat="1" x14ac:dyDescent="0.35"/>
    <row r="73" spans="1:7" s="54" customFormat="1" x14ac:dyDescent="0.35">
      <c r="A73" s="54" t="s">
        <v>19</v>
      </c>
      <c r="B73" s="54" t="s">
        <v>68</v>
      </c>
      <c r="C73" s="54" t="s">
        <v>71</v>
      </c>
      <c r="E73" s="54" t="s">
        <v>71</v>
      </c>
    </row>
    <row r="74" spans="1:7" s="54" customFormat="1" ht="15" thickBot="1" x14ac:dyDescent="0.4">
      <c r="C74" s="54" t="s">
        <v>20</v>
      </c>
      <c r="E74" s="54" t="s">
        <v>21</v>
      </c>
    </row>
    <row r="75" spans="1:7" s="54" customFormat="1" ht="15" thickBot="1" x14ac:dyDescent="0.4">
      <c r="B75" s="54">
        <f>year-1</f>
        <v>2020</v>
      </c>
      <c r="C75" s="150"/>
      <c r="E75" s="145">
        <f>C75*(1-G41)</f>
        <v>0</v>
      </c>
    </row>
    <row r="76" spans="1:7" s="54" customFormat="1" ht="15" thickBot="1" x14ac:dyDescent="0.4">
      <c r="B76" s="54">
        <f>year</f>
        <v>2021</v>
      </c>
      <c r="C76" s="150"/>
      <c r="E76" s="148">
        <f>C76*(1-G41)</f>
        <v>0</v>
      </c>
    </row>
    <row r="77" spans="1:7" s="54" customFormat="1" x14ac:dyDescent="0.35"/>
    <row r="78" spans="1:7" s="54" customFormat="1" x14ac:dyDescent="0.35">
      <c r="B78" s="54" t="s">
        <v>68</v>
      </c>
      <c r="C78" s="204" t="s">
        <v>71</v>
      </c>
      <c r="E78" s="54" t="s">
        <v>61</v>
      </c>
      <c r="G78" s="54" t="s">
        <v>22</v>
      </c>
    </row>
    <row r="79" spans="1:7" s="54" customFormat="1" x14ac:dyDescent="0.35">
      <c r="C79" s="204" t="s">
        <v>20</v>
      </c>
      <c r="E79" s="54" t="s">
        <v>70</v>
      </c>
      <c r="G79" s="54" t="s">
        <v>70</v>
      </c>
    </row>
    <row r="80" spans="1:7" s="54" customFormat="1" x14ac:dyDescent="0.35">
      <c r="B80" s="54">
        <f>year-1</f>
        <v>2020</v>
      </c>
      <c r="C80" s="145">
        <f>C75</f>
        <v>0</v>
      </c>
      <c r="E80" s="145">
        <f>E70</f>
        <v>0</v>
      </c>
      <c r="G80" s="145">
        <f>C80+E80</f>
        <v>0</v>
      </c>
    </row>
    <row r="81" spans="1:17" s="54" customFormat="1" x14ac:dyDescent="0.35">
      <c r="B81" s="54">
        <f>year</f>
        <v>2021</v>
      </c>
      <c r="C81" s="148">
        <f>C76</f>
        <v>0</v>
      </c>
      <c r="E81" s="148">
        <f>E71</f>
        <v>0</v>
      </c>
      <c r="G81" s="148">
        <f>C81+E81</f>
        <v>0</v>
      </c>
    </row>
    <row r="82" spans="1:17" s="54" customFormat="1" x14ac:dyDescent="0.35"/>
    <row r="83" spans="1:17" s="54" customFormat="1" ht="15" thickBot="1" x14ac:dyDescent="0.4"/>
    <row r="84" spans="1:17" s="54" customFormat="1" ht="15" thickBot="1" x14ac:dyDescent="0.4">
      <c r="A84" s="54" t="str">
        <f>"    (c) " &amp;year&amp; " Estimate of Service Charge Included in Other Expenses"</f>
        <v xml:space="preserve">    (c) 2021 Estimate of Service Charge Included in Other Expenses</v>
      </c>
      <c r="G84" s="150"/>
    </row>
    <row r="85" spans="1:17" s="54" customFormat="1" ht="15" thickBot="1" x14ac:dyDescent="0.4">
      <c r="A85" s="54" t="str">
        <f>"    (d) " &amp;year&amp; " Estimated Cost of Facility Capital"</f>
        <v xml:space="preserve">    (d) 2021 Estimated Cost of Facility Capital</v>
      </c>
      <c r="G85" s="150"/>
    </row>
    <row r="86" spans="1:17" s="54" customFormat="1" x14ac:dyDescent="0.35">
      <c r="A86" s="54" t="str">
        <f>"        For the "&amp;year-1&amp;" Ending Special Reserve to reflect the establishment of an Administrative Accrued Expense Reserve, the "&amp;year-1</f>
        <v xml:space="preserve">        For the 2020 Ending Special Reserve to reflect the establishment of an Administrative Accrued Expense Reserve, the 2020</v>
      </c>
    </row>
    <row r="87" spans="1:17" s="54" customFormat="1" x14ac:dyDescent="0.35">
      <c r="A87" s="54" t="str">
        <f>"        Administrative Incurred Expenses should be sufficient to administer the payment of all " &amp;year-1&amp; " incurred claims."</f>
        <v xml:space="preserve">        Administrative Incurred Expenses should be sufficient to administer the payment of all 2020 incurred claims.</v>
      </c>
    </row>
    <row r="88" spans="1:17" s="54" customFormat="1" x14ac:dyDescent="0.35">
      <c r="A88" s="241" t="s">
        <v>197</v>
      </c>
      <c r="C88" s="116"/>
    </row>
    <row r="89" spans="1:17" s="54" customFormat="1" x14ac:dyDescent="0.35">
      <c r="A89" s="241" t="s">
        <v>196</v>
      </c>
    </row>
    <row r="90" spans="1:17" s="54" customFormat="1" x14ac:dyDescent="0.35"/>
    <row r="91" spans="1:17" s="54" customFormat="1" x14ac:dyDescent="0.35">
      <c r="A91" s="54" t="str">
        <f>"15. " &amp;year-1&amp; " Contingency Interest and Investment Income, and Reserve Calculations"</f>
        <v>15. 2020 Contingency Interest and Investment Income, and Reserve Calculations</v>
      </c>
    </row>
    <row r="92" spans="1:17" s="54" customFormat="1" x14ac:dyDescent="0.35"/>
    <row r="93" spans="1:17" s="54" customFormat="1" ht="15" thickBot="1" x14ac:dyDescent="0.4">
      <c r="A93" s="54" t="str">
        <f>"    (a) 12/31/"&amp; year-1&amp; " Contingency Reserve Balance"</f>
        <v xml:space="preserve">    (a) 12/31/2020 Contingency Reserve Balance</v>
      </c>
      <c r="G93" s="146"/>
      <c r="Q93" s="202"/>
    </row>
    <row r="94" spans="1:17" s="202" customFormat="1" ht="15" thickBot="1" x14ac:dyDescent="0.4">
      <c r="A94" s="54" t="str">
        <f>"           (1) Contingency Reserve Balance 12/31/" &amp;year-2</f>
        <v xml:space="preserve">           (1) Contingency Reserve Balance 12/31/2019</v>
      </c>
      <c r="B94" s="54"/>
      <c r="C94" s="54"/>
      <c r="D94" s="54"/>
      <c r="E94" s="54"/>
      <c r="F94" s="54"/>
      <c r="G94" s="150">
        <v>0</v>
      </c>
      <c r="H94" s="54" t="s">
        <v>165</v>
      </c>
      <c r="I94" s="54"/>
      <c r="J94" s="54"/>
      <c r="K94" s="54"/>
    </row>
    <row r="95" spans="1:17" s="202" customFormat="1" x14ac:dyDescent="0.35">
      <c r="A95" s="202" t="str">
        <f>"           (8) Payments to Contingency Reserve Fund During " &amp;year-1</f>
        <v xml:space="preserve">           (8) Payments to Contingency Reserve Fund During 2020</v>
      </c>
      <c r="G95" s="213">
        <f>F14*(0.04-OPMadmin)</f>
        <v>0</v>
      </c>
      <c r="Q95" s="54"/>
    </row>
    <row r="96" spans="1:17" s="54" customFormat="1" x14ac:dyDescent="0.35">
      <c r="A96" s="202" t="str">
        <f>"           (9) Interest on Contingency Reserve Fund During " &amp;year-1</f>
        <v xml:space="preserve">           (9) Interest on Contingency Reserve Fund During 2020</v>
      </c>
      <c r="B96" s="202"/>
      <c r="C96" s="202"/>
      <c r="D96" s="202"/>
      <c r="E96" s="202"/>
      <c r="F96" s="202"/>
      <c r="G96" s="213">
        <f>Yr1CR*(G94+0.5*G95)</f>
        <v>0</v>
      </c>
      <c r="H96" s="202"/>
      <c r="I96" s="202"/>
      <c r="J96" s="202"/>
      <c r="K96" s="202"/>
    </row>
    <row r="97" spans="1:7" s="54" customFormat="1" x14ac:dyDescent="0.35">
      <c r="A97" s="54" t="str">
        <f>"           (10) Contingency Reserve Balance 12/31/" &amp;year-1</f>
        <v xml:space="preserve">           (10) Contingency Reserve Balance 12/31/2020</v>
      </c>
      <c r="G97" s="145">
        <f>G94+G95+G96</f>
        <v>0</v>
      </c>
    </row>
    <row r="98" spans="1:7" s="54" customFormat="1" x14ac:dyDescent="0.35"/>
    <row r="99" spans="1:7" s="54" customFormat="1" x14ac:dyDescent="0.35">
      <c r="A99" s="54" t="s">
        <v>222</v>
      </c>
    </row>
    <row r="100" spans="1:7" s="54" customFormat="1" x14ac:dyDescent="0.35">
      <c r="A100" s="54" t="str">
        <f>"           (4) " &amp;year-1&amp; " Premium Income"</f>
        <v xml:space="preserve">           (4) 2020 Premium Income</v>
      </c>
      <c r="G100" s="145">
        <f>F14</f>
        <v>0</v>
      </c>
    </row>
    <row r="101" spans="1:7" s="54" customFormat="1" x14ac:dyDescent="0.35">
      <c r="A101" s="54" t="str">
        <f>"           (5) " &amp;year-1&amp; " Estimated Paid Claims"</f>
        <v xml:space="preserve">           (5) 2020 Estimated Paid Claims</v>
      </c>
      <c r="G101" s="145">
        <f>G39*G41</f>
        <v>0</v>
      </c>
    </row>
    <row r="102" spans="1:7" s="54" customFormat="1" x14ac:dyDescent="0.35">
      <c r="A102" s="54" t="str">
        <f>"           (6) " &amp;year-1&amp;" Paid Expenses "</f>
        <v xml:space="preserve">           (6) 2020 Paid Expenses </v>
      </c>
      <c r="G102" s="145">
        <f>G70</f>
        <v>0</v>
      </c>
    </row>
    <row r="103" spans="1:7" s="54" customFormat="1" x14ac:dyDescent="0.35">
      <c r="A103" s="54" t="str">
        <f>"           (7) " &amp;year-1&amp;" Average Investment Balance:"</f>
        <v xml:space="preserve">           (7) 2020 Average Investment Balance:</v>
      </c>
      <c r="G103" s="145">
        <f>0.5*(G100-G101-G102)</f>
        <v>0</v>
      </c>
    </row>
    <row r="104" spans="1:7" s="54" customFormat="1" x14ac:dyDescent="0.35">
      <c r="A104" s="54" t="str">
        <f>"           (8) " &amp;year-1&amp;" Interest Plus Investment Income:"</f>
        <v xml:space="preserve">           (8) 2020 Interest Plus Investment Income:</v>
      </c>
      <c r="G104" s="145">
        <f>Yr1LOC*G103</f>
        <v>0</v>
      </c>
    </row>
    <row r="105" spans="1:7" s="54" customFormat="1" x14ac:dyDescent="0.35"/>
    <row r="106" spans="1:7" s="54" customFormat="1" x14ac:dyDescent="0.35">
      <c r="A106" s="54" t="str">
        <f>"    (c) Financial Summary and Special Reserve - " &amp;year-1</f>
        <v xml:space="preserve">    (c) Financial Summary and Special Reserve - 2020</v>
      </c>
    </row>
    <row r="107" spans="1:7" s="54" customFormat="1" x14ac:dyDescent="0.35">
      <c r="A107" s="54" t="s">
        <v>223</v>
      </c>
    </row>
    <row r="108" spans="1:7" s="54" customFormat="1" x14ac:dyDescent="0.35">
      <c r="A108" s="54" t="s">
        <v>231</v>
      </c>
      <c r="G108" s="145">
        <f>F14</f>
        <v>0</v>
      </c>
    </row>
    <row r="109" spans="1:7" s="54" customFormat="1" x14ac:dyDescent="0.35">
      <c r="A109" s="54" t="s">
        <v>232</v>
      </c>
      <c r="G109" s="145">
        <f>G104</f>
        <v>0</v>
      </c>
    </row>
    <row r="110" spans="1:7" s="54" customFormat="1" x14ac:dyDescent="0.35">
      <c r="A110" s="54" t="s">
        <v>233</v>
      </c>
      <c r="G110" s="145">
        <f>G108+G109</f>
        <v>0</v>
      </c>
    </row>
    <row r="111" spans="1:7" s="54" customFormat="1" x14ac:dyDescent="0.35">
      <c r="A111" s="54" t="s">
        <v>224</v>
      </c>
    </row>
    <row r="112" spans="1:7" s="54" customFormat="1" x14ac:dyDescent="0.35">
      <c r="A112" s="54" t="s">
        <v>234</v>
      </c>
      <c r="G112" s="145">
        <f>G39</f>
        <v>0</v>
      </c>
    </row>
    <row r="113" spans="1:7" s="54" customFormat="1" x14ac:dyDescent="0.35">
      <c r="A113" s="54" t="s">
        <v>235</v>
      </c>
      <c r="G113" s="145">
        <f>G80</f>
        <v>0</v>
      </c>
    </row>
    <row r="114" spans="1:7" s="54" customFormat="1" x14ac:dyDescent="0.35">
      <c r="A114" s="54" t="s">
        <v>236</v>
      </c>
      <c r="G114" s="145">
        <f>G112+G113</f>
        <v>0</v>
      </c>
    </row>
    <row r="115" spans="1:7" s="54" customFormat="1" x14ac:dyDescent="0.35">
      <c r="A115" s="54" t="s">
        <v>225</v>
      </c>
      <c r="G115" s="145">
        <f>G110-G114</f>
        <v>0</v>
      </c>
    </row>
    <row r="116" spans="1:7" s="54" customFormat="1" x14ac:dyDescent="0.35">
      <c r="A116" s="54" t="s">
        <v>226</v>
      </c>
      <c r="G116" s="65"/>
    </row>
    <row r="117" spans="1:7" s="54" customFormat="1" x14ac:dyDescent="0.35">
      <c r="A117" s="54" t="s">
        <v>237</v>
      </c>
      <c r="G117" s="145">
        <f>G115</f>
        <v>0</v>
      </c>
    </row>
    <row r="118" spans="1:7" s="54" customFormat="1" x14ac:dyDescent="0.35">
      <c r="A118" s="54" t="s">
        <v>238</v>
      </c>
      <c r="G118" s="145">
        <f>G97</f>
        <v>0</v>
      </c>
    </row>
    <row r="119" spans="1:7" s="54" customFormat="1" x14ac:dyDescent="0.35">
      <c r="A119" s="54" t="s">
        <v>366</v>
      </c>
      <c r="G119" s="405" t="e">
        <f>(12*(G117+G118))/G114</f>
        <v>#DIV/0!</v>
      </c>
    </row>
    <row r="120" spans="1:7" s="54" customFormat="1" x14ac:dyDescent="0.35">
      <c r="G120" s="306"/>
    </row>
    <row r="121" spans="1:7" s="54" customFormat="1" x14ac:dyDescent="0.35">
      <c r="A121" s="54" t="str">
        <f>"16. " &amp;year&amp; " Contingency Interest and Investment Income, and Reserve Calculations"</f>
        <v>16. 2021 Contingency Interest and Investment Income, and Reserve Calculations</v>
      </c>
      <c r="G121" s="161"/>
    </row>
    <row r="122" spans="1:7" s="54" customFormat="1" x14ac:dyDescent="0.35">
      <c r="G122" s="161"/>
    </row>
    <row r="123" spans="1:7" s="54" customFormat="1" x14ac:dyDescent="0.35">
      <c r="A123" s="54" t="str">
        <f>"    (a) 12/31/"&amp;year&amp;" Contingency Reserve Balance"</f>
        <v xml:space="preserve">    (a) 12/31/2021 Contingency Reserve Balance</v>
      </c>
      <c r="G123" s="65"/>
    </row>
    <row r="124" spans="1:7" s="54" customFormat="1" ht="15" thickBot="1" x14ac:dyDescent="0.4">
      <c r="A124" s="54" t="str">
        <f>"           (1) Contingency Reserve Balance 12/31/" &amp;year-1</f>
        <v xml:space="preserve">           (1) Contingency Reserve Balance 12/31/2020</v>
      </c>
      <c r="G124" s="146">
        <f>G97</f>
        <v>0</v>
      </c>
    </row>
    <row r="125" spans="1:7" s="54" customFormat="1" ht="15" thickBot="1" x14ac:dyDescent="0.4">
      <c r="A125" s="54" t="str">
        <f>"           (2) Claims Paid During Last 6 Months of " &amp;year-1</f>
        <v xml:space="preserve">           (2) Claims Paid During Last 6 Months of 2020</v>
      </c>
      <c r="G125" s="150"/>
    </row>
    <row r="126" spans="1:7" s="54" customFormat="1" x14ac:dyDescent="0.35">
      <c r="A126" s="54" t="str">
        <f>"           (3) Paid Expenses for " &amp;year-1</f>
        <v xml:space="preserve">           (3) Paid Expenses for 2020</v>
      </c>
      <c r="G126" s="145">
        <f>G70</f>
        <v>0</v>
      </c>
    </row>
    <row r="127" spans="1:7" s="54" customFormat="1" x14ac:dyDescent="0.35">
      <c r="A127" s="54" t="s">
        <v>228</v>
      </c>
      <c r="G127" s="145">
        <f>(7/12*G125)+(7/24*G126)</f>
        <v>0</v>
      </c>
    </row>
    <row r="128" spans="1:7" s="54" customFormat="1" x14ac:dyDescent="0.35">
      <c r="A128" s="54" t="s">
        <v>229</v>
      </c>
      <c r="G128" s="145">
        <f>3/7*G127</f>
        <v>0</v>
      </c>
    </row>
    <row r="129" spans="1:17" s="54" customFormat="1" x14ac:dyDescent="0.35">
      <c r="A129" s="54" t="str">
        <f>"           (6) Accrued Claims Reserve + Accrued Administrative Expense Reserve + Special Reserve 12/31/" &amp;year-1</f>
        <v xml:space="preserve">           (6) Accrued Claims Reserve + Accrued Administrative Expense Reserve + Special Reserve 12/31/2020</v>
      </c>
      <c r="G129" s="145">
        <f>G63+E75+G117</f>
        <v>0</v>
      </c>
    </row>
    <row r="130" spans="1:17" s="54" customFormat="1" x14ac:dyDescent="0.35">
      <c r="A130" s="54" t="str">
        <f>"           (7) "&amp;year&amp; " Contingency Reserve Payment"</f>
        <v xml:space="preserve">           (7) 2021 Contingency Reserve Payment</v>
      </c>
      <c r="G130" s="65"/>
    </row>
    <row r="131" spans="1:17" s="54" customFormat="1" x14ac:dyDescent="0.35">
      <c r="A131" s="54" t="s">
        <v>239</v>
      </c>
      <c r="G131" s="145">
        <f>IF(G127&lt;=G129,0,G127-G129)</f>
        <v>0</v>
      </c>
    </row>
    <row r="132" spans="1:17" s="54" customFormat="1" x14ac:dyDescent="0.35">
      <c r="A132" s="54" t="s">
        <v>240</v>
      </c>
      <c r="G132" s="145">
        <f>IF(G124&lt;=G128,0,G124-G128)</f>
        <v>0</v>
      </c>
    </row>
    <row r="133" spans="1:17" s="54" customFormat="1" x14ac:dyDescent="0.35">
      <c r="A133" s="54" t="s">
        <v>241</v>
      </c>
      <c r="G133" s="145">
        <f>IF(G131&lt;G132,G131,G132)</f>
        <v>0</v>
      </c>
    </row>
    <row r="134" spans="1:17" s="54" customFormat="1" x14ac:dyDescent="0.35">
      <c r="A134" s="54" t="s">
        <v>242</v>
      </c>
      <c r="G134" s="145">
        <f>IF(G127&lt;=G129,G129-G127,0)</f>
        <v>0</v>
      </c>
      <c r="Q134" s="202"/>
    </row>
    <row r="135" spans="1:17" s="202" customFormat="1" x14ac:dyDescent="0.35">
      <c r="A135" s="54" t="s">
        <v>243</v>
      </c>
      <c r="B135" s="54"/>
      <c r="C135" s="54"/>
      <c r="D135" s="54"/>
      <c r="E135" s="54"/>
      <c r="F135" s="54"/>
      <c r="G135" s="54"/>
      <c r="H135" s="54"/>
      <c r="I135" s="54"/>
      <c r="J135" s="54"/>
      <c r="K135" s="54"/>
    </row>
    <row r="136" spans="1:17" s="202" customFormat="1" x14ac:dyDescent="0.35">
      <c r="A136" s="202" t="str">
        <f>"           (8) Payments to Contingency Reserve Fund During " &amp;year</f>
        <v xml:space="preserve">           (8) Payments to Contingency Reserve Fund During 2021</v>
      </c>
      <c r="G136" s="213">
        <f>F20*(0.04-OPMadmin)</f>
        <v>0</v>
      </c>
      <c r="Q136" s="54"/>
    </row>
    <row r="137" spans="1:17" s="54" customFormat="1" x14ac:dyDescent="0.35">
      <c r="A137" s="202" t="str">
        <f>"           (9) Interest on Contingency Reserve Fund During " &amp;year</f>
        <v xml:space="preserve">           (9) Interest on Contingency Reserve Fund During 2021</v>
      </c>
      <c r="B137" s="202"/>
      <c r="C137" s="202"/>
      <c r="D137" s="202"/>
      <c r="E137" s="202"/>
      <c r="F137" s="202"/>
      <c r="G137" s="213">
        <f>Yr2CR*(G124+0.5*G136+0.25*(G134-G133))</f>
        <v>0</v>
      </c>
      <c r="H137" s="202"/>
      <c r="I137" s="202"/>
      <c r="J137" s="202"/>
      <c r="K137" s="202"/>
    </row>
    <row r="138" spans="1:17" s="54" customFormat="1" x14ac:dyDescent="0.35">
      <c r="A138" s="54" t="str">
        <f>"           (10) Contingency Reserve Balance 12/31/"&amp;year</f>
        <v xml:space="preserve">           (10) Contingency Reserve Balance 12/31/2021</v>
      </c>
      <c r="G138" s="145">
        <f>G124+G136+G137+G134-G133</f>
        <v>0</v>
      </c>
    </row>
    <row r="139" spans="1:17" s="54" customFormat="1" x14ac:dyDescent="0.35">
      <c r="G139" s="146"/>
    </row>
    <row r="140" spans="1:17" s="54" customFormat="1" x14ac:dyDescent="0.35">
      <c r="A140" s="54" t="s">
        <v>227</v>
      </c>
    </row>
    <row r="141" spans="1:17" s="54" customFormat="1" x14ac:dyDescent="0.35">
      <c r="A141" s="54" t="str">
        <f>"           (1) Accrued Claims Reserve + Accrued Administrative Expense Reserve + Special Reserve 12/31/" &amp;year-1</f>
        <v xml:space="preserve">           (1) Accrued Claims Reserve + Accrued Administrative Expense Reserve + Special Reserve 12/31/2020</v>
      </c>
      <c r="G141" s="145">
        <f>G63+E75+G115</f>
        <v>0</v>
      </c>
    </row>
    <row r="142" spans="1:17" s="54" customFormat="1" x14ac:dyDescent="0.35">
      <c r="A142" s="54" t="str">
        <f>"           (2) Premium Income Accrued but Unpaid as of 12/31/"&amp;year-1</f>
        <v xml:space="preserve">           (2) Premium Income Accrued but Unpaid as of 12/31/2020</v>
      </c>
      <c r="G142" s="145">
        <f>1/12*F14</f>
        <v>0</v>
      </c>
    </row>
    <row r="143" spans="1:17" s="54" customFormat="1" x14ac:dyDescent="0.35">
      <c r="A143" s="54" t="str">
        <f>"           (3) " &amp;year&amp;" Contingency Reserve Payment"</f>
        <v xml:space="preserve">           (3) 2021 Contingency Reserve Payment</v>
      </c>
      <c r="G143" s="145">
        <f>G133-G134</f>
        <v>0</v>
      </c>
    </row>
    <row r="144" spans="1:17" s="54" customFormat="1" x14ac:dyDescent="0.35">
      <c r="A144" s="54" t="str">
        <f>"           (4) " &amp;year&amp;" Premium Income"</f>
        <v xml:space="preserve">           (4) 2021 Premium Income</v>
      </c>
      <c r="G144" s="145">
        <f>F20</f>
        <v>0</v>
      </c>
    </row>
    <row r="145" spans="1:17" s="54" customFormat="1" x14ac:dyDescent="0.35">
      <c r="A145" s="54" t="str">
        <f>"           (5) " &amp;year&amp;" Estimated Paid Claims"</f>
        <v xml:space="preserve">           (5) 2021 Estimated Paid Claims</v>
      </c>
      <c r="G145" s="162" t="e">
        <f>G58*G41+G57*(1-G41)</f>
        <v>#DIV/0!</v>
      </c>
      <c r="Q145" s="202"/>
    </row>
    <row r="146" spans="1:17" s="202" customFormat="1" x14ac:dyDescent="0.35">
      <c r="A146" s="54" t="str">
        <f>"           (6) " &amp;year&amp;" Paid Expenses"</f>
        <v xml:space="preserve">           (6) 2021 Paid Expenses</v>
      </c>
      <c r="B146" s="54"/>
      <c r="C146" s="54"/>
      <c r="D146" s="54"/>
      <c r="E146" s="54"/>
      <c r="F146" s="54"/>
      <c r="G146" s="145">
        <f>G71</f>
        <v>0</v>
      </c>
      <c r="H146" s="54"/>
      <c r="I146" s="54"/>
      <c r="J146" s="54"/>
      <c r="K146" s="54"/>
      <c r="Q146" s="54"/>
    </row>
    <row r="147" spans="1:17" s="54" customFormat="1" x14ac:dyDescent="0.35">
      <c r="A147" s="202" t="str">
        <f>"           (7) " &amp;year&amp;" Average Investment Balance:"</f>
        <v xml:space="preserve">           (7) 2021 Average Investment Balance:</v>
      </c>
      <c r="B147" s="202"/>
      <c r="C147" s="202"/>
      <c r="D147" s="202"/>
      <c r="E147" s="202"/>
      <c r="F147" s="202"/>
      <c r="G147" s="247" t="e">
        <f>G141-G142+0.25*G143+(0.5*(G144-G145-G146))</f>
        <v>#DIV/0!</v>
      </c>
      <c r="H147" s="202"/>
      <c r="I147" s="202"/>
      <c r="J147" s="202"/>
      <c r="K147" s="202"/>
    </row>
    <row r="148" spans="1:17" s="54" customFormat="1" x14ac:dyDescent="0.35">
      <c r="A148" s="54" t="str">
        <f>"           (8) " &amp;year&amp;" Interest Plus Investment Income:"</f>
        <v xml:space="preserve">           (8) 2021 Interest Plus Investment Income:</v>
      </c>
      <c r="G148" s="247" t="e">
        <f>Yr2LOC*G147</f>
        <v>#DIV/0!</v>
      </c>
    </row>
    <row r="149" spans="1:17" s="54" customFormat="1" x14ac:dyDescent="0.35">
      <c r="G149" s="163"/>
    </row>
    <row r="150" spans="1:17" s="54" customFormat="1" x14ac:dyDescent="0.35">
      <c r="A150" s="54" t="str">
        <f>"    (c) Financial Summary and Special Reserve - " &amp;year</f>
        <v xml:space="preserve">    (c) Financial Summary and Special Reserve - 2021</v>
      </c>
    </row>
    <row r="151" spans="1:17" s="54" customFormat="1" x14ac:dyDescent="0.35">
      <c r="A151" s="54" t="s">
        <v>223</v>
      </c>
      <c r="F151" s="7"/>
    </row>
    <row r="152" spans="1:17" s="54" customFormat="1" x14ac:dyDescent="0.35">
      <c r="A152" s="54" t="s">
        <v>231</v>
      </c>
      <c r="G152" s="145">
        <f>F20</f>
        <v>0</v>
      </c>
    </row>
    <row r="153" spans="1:17" s="54" customFormat="1" x14ac:dyDescent="0.35">
      <c r="A153" s="54" t="s">
        <v>244</v>
      </c>
      <c r="G153" s="145">
        <f>G143</f>
        <v>0</v>
      </c>
    </row>
    <row r="154" spans="1:17" s="54" customFormat="1" x14ac:dyDescent="0.35">
      <c r="A154" s="54" t="s">
        <v>232</v>
      </c>
      <c r="G154" s="145" t="e">
        <f>G148</f>
        <v>#DIV/0!</v>
      </c>
    </row>
    <row r="155" spans="1:17" s="54" customFormat="1" x14ac:dyDescent="0.35">
      <c r="A155" s="54" t="s">
        <v>233</v>
      </c>
      <c r="G155" s="145" t="e">
        <f>G152+G153+G154</f>
        <v>#DIV/0!</v>
      </c>
    </row>
    <row r="156" spans="1:17" s="54" customFormat="1" x14ac:dyDescent="0.35">
      <c r="A156" s="54" t="s">
        <v>224</v>
      </c>
    </row>
    <row r="157" spans="1:17" s="54" customFormat="1" x14ac:dyDescent="0.35">
      <c r="A157" s="54" t="s">
        <v>245</v>
      </c>
      <c r="G157" s="145" t="e">
        <f>G58</f>
        <v>#DIV/0!</v>
      </c>
    </row>
    <row r="158" spans="1:17" s="54" customFormat="1" x14ac:dyDescent="0.35">
      <c r="A158" s="54" t="s">
        <v>246</v>
      </c>
      <c r="G158" s="145">
        <f>G81</f>
        <v>0</v>
      </c>
    </row>
    <row r="159" spans="1:17" s="54" customFormat="1" x14ac:dyDescent="0.35">
      <c r="A159" s="54" t="s">
        <v>236</v>
      </c>
      <c r="G159" s="145" t="e">
        <f>G157+G158</f>
        <v>#DIV/0!</v>
      </c>
    </row>
    <row r="160" spans="1:17" s="54" customFormat="1" x14ac:dyDescent="0.35">
      <c r="A160" s="54" t="s">
        <v>230</v>
      </c>
      <c r="G160" s="145" t="e">
        <f>G155-G159</f>
        <v>#DIV/0!</v>
      </c>
    </row>
    <row r="161" spans="1:7" s="54" customFormat="1" x14ac:dyDescent="0.35">
      <c r="A161" s="54" t="s">
        <v>226</v>
      </c>
      <c r="G161" s="65"/>
    </row>
    <row r="162" spans="1:7" s="54" customFormat="1" x14ac:dyDescent="0.35">
      <c r="A162" s="54" t="s">
        <v>247</v>
      </c>
      <c r="G162" s="145">
        <f>G117</f>
        <v>0</v>
      </c>
    </row>
    <row r="163" spans="1:7" s="54" customFormat="1" x14ac:dyDescent="0.35">
      <c r="A163" s="54" t="s">
        <v>248</v>
      </c>
      <c r="G163" s="145" t="e">
        <f>G160+G162</f>
        <v>#DIV/0!</v>
      </c>
    </row>
    <row r="164" spans="1:7" s="54" customFormat="1" x14ac:dyDescent="0.35">
      <c r="A164" s="54" t="s">
        <v>249</v>
      </c>
      <c r="G164" s="145">
        <f>G138</f>
        <v>0</v>
      </c>
    </row>
    <row r="165" spans="1:7" s="54" customFormat="1" x14ac:dyDescent="0.35">
      <c r="A165" s="54" t="s">
        <v>366</v>
      </c>
      <c r="G165" s="405" t="e">
        <f>(12*(G163+G164))/G159</f>
        <v>#DIV/0!</v>
      </c>
    </row>
    <row r="166" spans="1:7" s="54" customFormat="1" x14ac:dyDescent="0.35"/>
    <row r="167" spans="1:7" s="54" customFormat="1" x14ac:dyDescent="0.35"/>
    <row r="168" spans="1:7" s="54" customFormat="1" x14ac:dyDescent="0.35"/>
    <row r="169" spans="1:7" s="54" customFormat="1" x14ac:dyDescent="0.35"/>
    <row r="170" spans="1:7" s="54" customFormat="1" x14ac:dyDescent="0.35"/>
    <row r="171" spans="1:7" s="54" customFormat="1" x14ac:dyDescent="0.35"/>
    <row r="172" spans="1:7" s="54" customFormat="1" x14ac:dyDescent="0.35"/>
    <row r="173" spans="1:7" s="54" customFormat="1" x14ac:dyDescent="0.35"/>
    <row r="174" spans="1:7" s="54" customFormat="1" x14ac:dyDescent="0.35"/>
    <row r="175" spans="1:7" s="54" customFormat="1" x14ac:dyDescent="0.35"/>
    <row r="176" spans="1:7" s="54" customFormat="1" x14ac:dyDescent="0.35"/>
    <row r="177" s="54" customFormat="1" x14ac:dyDescent="0.35"/>
    <row r="178" s="54" customFormat="1" x14ac:dyDescent="0.35"/>
    <row r="179" s="54" customFormat="1" x14ac:dyDescent="0.35"/>
    <row r="180" s="54" customFormat="1" x14ac:dyDescent="0.35"/>
    <row r="181" s="54" customFormat="1" x14ac:dyDescent="0.35"/>
    <row r="182" s="54" customFormat="1" x14ac:dyDescent="0.35"/>
    <row r="183" s="54" customFormat="1" x14ac:dyDescent="0.35"/>
    <row r="184" s="54" customFormat="1" x14ac:dyDescent="0.35"/>
    <row r="185" s="54" customFormat="1" x14ac:dyDescent="0.35"/>
    <row r="186" s="54" customFormat="1" x14ac:dyDescent="0.35"/>
    <row r="187" s="54" customFormat="1" x14ac:dyDescent="0.35"/>
    <row r="188" s="54" customFormat="1" x14ac:dyDescent="0.35"/>
    <row r="189" s="54" customFormat="1" x14ac:dyDescent="0.35"/>
    <row r="190" s="54" customFormat="1" x14ac:dyDescent="0.35"/>
    <row r="191" s="54" customFormat="1" x14ac:dyDescent="0.35"/>
    <row r="192" s="54" customFormat="1" x14ac:dyDescent="0.35"/>
    <row r="193" s="54" customFormat="1" x14ac:dyDescent="0.35"/>
    <row r="194" s="54" customFormat="1" x14ac:dyDescent="0.35"/>
    <row r="195" s="54" customFormat="1" x14ac:dyDescent="0.35"/>
    <row r="196" s="54" customFormat="1" x14ac:dyDescent="0.35"/>
    <row r="197" s="54" customFormat="1" x14ac:dyDescent="0.35"/>
    <row r="198" s="54" customFormat="1" x14ac:dyDescent="0.35"/>
    <row r="199" s="54" customFormat="1" x14ac:dyDescent="0.35"/>
    <row r="200" s="54" customFormat="1" x14ac:dyDescent="0.35"/>
    <row r="201" s="54" customFormat="1" x14ac:dyDescent="0.35"/>
    <row r="202" s="54" customFormat="1" x14ac:dyDescent="0.35"/>
    <row r="203" s="54" customFormat="1" x14ac:dyDescent="0.35"/>
    <row r="204" s="54" customFormat="1" x14ac:dyDescent="0.35"/>
    <row r="205" s="54" customFormat="1" x14ac:dyDescent="0.35"/>
    <row r="206" s="54" customFormat="1" x14ac:dyDescent="0.35"/>
    <row r="207" s="54" customFormat="1" x14ac:dyDescent="0.35"/>
    <row r="208" s="54" customFormat="1" x14ac:dyDescent="0.35"/>
    <row r="209" s="54" customFormat="1" x14ac:dyDescent="0.35"/>
    <row r="210" s="54" customFormat="1" x14ac:dyDescent="0.35"/>
    <row r="211" s="54" customFormat="1" x14ac:dyDescent="0.35"/>
    <row r="212" s="54" customFormat="1" x14ac:dyDescent="0.35"/>
    <row r="213" s="54" customFormat="1" x14ac:dyDescent="0.35"/>
    <row r="214" s="54" customFormat="1" x14ac:dyDescent="0.35"/>
    <row r="215" s="54" customFormat="1" x14ac:dyDescent="0.35"/>
    <row r="216" s="54" customFormat="1" x14ac:dyDescent="0.35"/>
    <row r="217" s="54" customFormat="1" x14ac:dyDescent="0.35"/>
    <row r="218" s="54" customFormat="1" x14ac:dyDescent="0.35"/>
    <row r="219" s="54" customFormat="1" x14ac:dyDescent="0.35"/>
    <row r="220" s="54" customFormat="1" x14ac:dyDescent="0.35"/>
    <row r="221" s="54" customFormat="1" x14ac:dyDescent="0.35"/>
    <row r="222" s="54" customFormat="1" x14ac:dyDescent="0.35"/>
    <row r="223" s="54" customFormat="1" x14ac:dyDescent="0.35"/>
    <row r="224" s="54" customFormat="1" x14ac:dyDescent="0.35"/>
    <row r="225" spans="1:17" s="54" customFormat="1" x14ac:dyDescent="0.35"/>
    <row r="226" spans="1:17" s="54" customFormat="1" x14ac:dyDescent="0.35"/>
    <row r="227" spans="1:17" s="54" customFormat="1" x14ac:dyDescent="0.35"/>
    <row r="228" spans="1:17" s="54" customFormat="1" x14ac:dyDescent="0.35"/>
    <row r="229" spans="1:17" s="54" customFormat="1" x14ac:dyDescent="0.35"/>
    <row r="230" spans="1:17" s="54" customFormat="1" x14ac:dyDescent="0.35"/>
    <row r="231" spans="1:17" s="54" customFormat="1" x14ac:dyDescent="0.35"/>
    <row r="232" spans="1:17" s="54" customFormat="1" x14ac:dyDescent="0.35"/>
    <row r="233" spans="1:17" s="54" customFormat="1" x14ac:dyDescent="0.35"/>
    <row r="234" spans="1:17" s="54" customFormat="1" x14ac:dyDescent="0.35"/>
    <row r="235" spans="1:17" s="54" customFormat="1" x14ac:dyDescent="0.35"/>
    <row r="236" spans="1:17" s="54" customFormat="1" x14ac:dyDescent="0.35"/>
    <row r="237" spans="1:17" s="54" customFormat="1" x14ac:dyDescent="0.35">
      <c r="Q237" s="164"/>
    </row>
    <row r="238" spans="1:17" x14ac:dyDescent="0.35">
      <c r="A238" s="54"/>
      <c r="B238" s="54"/>
      <c r="C238" s="54"/>
      <c r="D238" s="54"/>
      <c r="E238" s="54"/>
      <c r="F238" s="54"/>
      <c r="G238" s="54"/>
      <c r="H238" s="54"/>
      <c r="I238" s="54"/>
      <c r="J238" s="54"/>
      <c r="K238" s="54"/>
    </row>
  </sheetData>
  <sheetProtection algorithmName="SHA-512" hashValue="4o9PcOqraqhru+aBlDPjQHIWOyiAi6FRxF8pPgYBS7W54S+pt6YZ1fMb37SEfKQAQOfHE/DjHqXZzPjs0VZ+3w==" saltValue="8rhUf5I1IvCk5Ez5iVZuhQ==" spinCount="100000" sheet="1" objects="1" scenarios="1"/>
  <mergeCells count="13">
    <mergeCell ref="A1:G1"/>
    <mergeCell ref="A3:G3"/>
    <mergeCell ref="A2:G2"/>
    <mergeCell ref="B55:F55"/>
    <mergeCell ref="F29:F30"/>
    <mergeCell ref="G29:G30"/>
    <mergeCell ref="B34:G36"/>
    <mergeCell ref="I29:J34"/>
    <mergeCell ref="A29:A30"/>
    <mergeCell ref="B29:B30"/>
    <mergeCell ref="C29:C30"/>
    <mergeCell ref="D29:D30"/>
    <mergeCell ref="E29:E30"/>
  </mergeCells>
  <phoneticPr fontId="3" type="noConversion"/>
  <dataValidations count="1">
    <dataValidation type="list" allowBlank="1" showInputMessage="1" showErrorMessage="1" sqref="H4" xr:uid="{00000000-0002-0000-0B00-000000000000}">
      <formula1>$Q$1:$Q$3</formula1>
    </dataValidation>
  </dataValidations>
  <pageMargins left="0.75" right="0.75" top="1" bottom="1" header="0.5" footer="0.5"/>
  <pageSetup scale="45" fitToHeight="3" orientation="portrait" r:id="rId1"/>
  <headerFooter alignWithMargins="0">
    <oddFooter>&amp;C&amp;P</oddFooter>
  </headerFooter>
  <rowBreaks count="2" manualBreakCount="2">
    <brk id="89" max="9" man="1"/>
    <brk id="165"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'Proposal Questions'!$S$1:$S$2</xm:f>
          </x14:formula1>
          <xm:sqref>E23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rgb="FF993300"/>
  </sheetPr>
  <dimension ref="A1:M35"/>
  <sheetViews>
    <sheetView zoomScaleNormal="100" workbookViewId="0">
      <selection activeCell="A2" sqref="A2:G3"/>
    </sheetView>
  </sheetViews>
  <sheetFormatPr defaultColWidth="9.1796875" defaultRowHeight="13" x14ac:dyDescent="0.3"/>
  <cols>
    <col min="1" max="4" width="9.1796875" style="6"/>
    <col min="5" max="7" width="14.26953125" style="6" customWidth="1"/>
    <col min="8" max="10" width="9.1796875" style="6"/>
    <col min="11" max="13" width="9.1796875" style="126"/>
    <col min="14" max="16384" width="9.1796875" style="6"/>
  </cols>
  <sheetData>
    <row r="1" spans="1:13" ht="18.5" x14ac:dyDescent="0.45">
      <c r="A1" s="479" t="s">
        <v>201</v>
      </c>
      <c r="B1" s="479"/>
      <c r="C1" s="479"/>
      <c r="D1" s="479"/>
      <c r="E1" s="479"/>
      <c r="F1" s="479"/>
      <c r="G1" s="479"/>
      <c r="H1" s="479"/>
      <c r="I1" s="479"/>
      <c r="J1" s="479"/>
      <c r="K1" s="484"/>
      <c r="L1" s="484"/>
      <c r="M1" s="484"/>
    </row>
    <row r="2" spans="1:13" ht="14.5" x14ac:dyDescent="0.35">
      <c r="A2" s="477">
        <f>Plan</f>
        <v>0</v>
      </c>
      <c r="B2" s="477"/>
      <c r="C2" s="477"/>
      <c r="D2" s="477"/>
      <c r="E2" s="477"/>
      <c r="F2" s="477"/>
      <c r="G2" s="477"/>
      <c r="H2" s="470"/>
      <c r="I2" s="470"/>
      <c r="J2" s="470"/>
      <c r="K2" s="483"/>
      <c r="L2" s="483"/>
      <c r="M2" s="483"/>
    </row>
    <row r="3" spans="1:13" ht="15" thickBot="1" x14ac:dyDescent="0.4">
      <c r="A3" s="481" t="str">
        <f>IF(Option="1, 3, 2", Code&amp;"1, "&amp;Code&amp;"3, "&amp;Code&amp;"2", IF(Option="4, 6, 5", Code&amp;"4, "&amp;Code&amp;"6, "&amp;Code&amp;"5", ""))</f>
        <v/>
      </c>
      <c r="B3" s="481"/>
      <c r="C3" s="481"/>
      <c r="D3" s="481"/>
      <c r="E3" s="481"/>
      <c r="F3" s="481"/>
      <c r="G3" s="481"/>
      <c r="H3" s="470"/>
      <c r="I3" s="470"/>
      <c r="J3" s="470"/>
      <c r="K3" s="483"/>
      <c r="L3" s="483"/>
      <c r="M3" s="483"/>
    </row>
    <row r="4" spans="1:13" ht="15" thickBot="1" x14ac:dyDescent="0.4">
      <c r="A4" s="61"/>
      <c r="B4" s="62"/>
      <c r="C4" s="62"/>
      <c r="D4" s="62"/>
      <c r="E4" s="129" t="s">
        <v>33</v>
      </c>
      <c r="F4" s="129" t="s">
        <v>190</v>
      </c>
      <c r="G4" s="130" t="s">
        <v>34</v>
      </c>
      <c r="I4" s="59"/>
      <c r="J4" s="59"/>
      <c r="K4" s="59"/>
      <c r="L4" s="59"/>
      <c r="M4" s="59"/>
    </row>
    <row r="5" spans="1:13" ht="14.5" x14ac:dyDescent="0.35">
      <c r="A5" s="252" t="str">
        <f>"A.   "&amp;year-1&amp;" Rates"</f>
        <v>A.   2020 Rates</v>
      </c>
      <c r="B5" s="253"/>
      <c r="C5" s="253"/>
      <c r="D5" s="253"/>
      <c r="E5" s="236">
        <f>'Rate Proposal - 2 year'!B11</f>
        <v>0</v>
      </c>
      <c r="F5" s="236">
        <f>'Rate Proposal - 2 year'!B12</f>
        <v>0</v>
      </c>
      <c r="G5" s="324">
        <f>'Rate Proposal - 2 year'!B13</f>
        <v>0</v>
      </c>
      <c r="I5" s="59"/>
      <c r="J5" s="59"/>
      <c r="K5" s="59"/>
      <c r="L5" s="59"/>
      <c r="M5" s="59"/>
    </row>
    <row r="6" spans="1:13" ht="14.5" x14ac:dyDescent="0.35">
      <c r="A6" s="64"/>
      <c r="B6" s="65"/>
      <c r="C6" s="65"/>
      <c r="D6" s="65"/>
      <c r="E6" s="133"/>
      <c r="F6" s="133"/>
      <c r="G6" s="134"/>
      <c r="I6" s="59"/>
      <c r="J6" s="59"/>
      <c r="K6" s="59"/>
      <c r="L6" s="59"/>
      <c r="M6" s="59"/>
    </row>
    <row r="7" spans="1:13" ht="14.5" x14ac:dyDescent="0.35">
      <c r="A7" s="64" t="str">
        <f>"B.   "&amp;year&amp;" Rates"</f>
        <v>B.   2021 Rates</v>
      </c>
      <c r="B7" s="65"/>
      <c r="C7" s="65"/>
      <c r="D7" s="65"/>
      <c r="E7" s="133"/>
      <c r="F7" s="133"/>
      <c r="G7" s="134"/>
      <c r="I7" s="59"/>
      <c r="J7" s="59"/>
      <c r="K7" s="59"/>
      <c r="L7" s="59"/>
      <c r="M7" s="59"/>
    </row>
    <row r="8" spans="1:13" ht="14.5" x14ac:dyDescent="0.35">
      <c r="A8" s="64"/>
      <c r="B8" s="65"/>
      <c r="C8" s="65"/>
      <c r="D8" s="65"/>
      <c r="E8" s="133"/>
      <c r="F8" s="133"/>
      <c r="G8" s="134"/>
      <c r="I8" s="59"/>
      <c r="J8" s="59"/>
      <c r="K8" s="59"/>
      <c r="L8" s="59"/>
      <c r="M8" s="59"/>
    </row>
    <row r="9" spans="1:13" ht="14.5" x14ac:dyDescent="0.35">
      <c r="A9" s="64" t="str">
        <f>"    1.  Experience Change"</f>
        <v xml:space="preserve">    1.  Experience Change</v>
      </c>
      <c r="B9" s="65"/>
      <c r="C9" s="65"/>
      <c r="D9" s="65"/>
      <c r="E9" s="131">
        <f>E15-E5-E11-E13</f>
        <v>0</v>
      </c>
      <c r="F9" s="131">
        <f>F15-F5-F11-F13</f>
        <v>0</v>
      </c>
      <c r="G9" s="132">
        <f>G15-G5-G11-G13</f>
        <v>0</v>
      </c>
      <c r="I9" s="59"/>
      <c r="J9" s="59"/>
      <c r="K9" s="59"/>
      <c r="L9" s="59"/>
      <c r="M9" s="59"/>
    </row>
    <row r="10" spans="1:13" ht="14.5" x14ac:dyDescent="0.35">
      <c r="A10" s="64"/>
      <c r="B10" s="65"/>
      <c r="C10" s="65"/>
      <c r="D10" s="65"/>
      <c r="E10" s="133"/>
      <c r="F10" s="133"/>
      <c r="G10" s="134"/>
      <c r="I10" s="59"/>
      <c r="J10" s="59"/>
      <c r="K10" s="59"/>
      <c r="L10" s="59"/>
      <c r="M10" s="59"/>
    </row>
    <row r="11" spans="1:13" ht="14.5" x14ac:dyDescent="0.35">
      <c r="A11" s="64" t="str">
        <f>"    2.  Benefit Change"</f>
        <v xml:space="preserve">    2.  Benefit Change</v>
      </c>
      <c r="B11" s="65"/>
      <c r="C11" s="65"/>
      <c r="D11" s="65"/>
      <c r="E11" s="131">
        <f>'Rate Proposal - 2 year'!$G$45*E5-E5</f>
        <v>0</v>
      </c>
      <c r="F11" s="131">
        <f>'Rate Proposal - 2 year'!$G$45*F5-F5</f>
        <v>0</v>
      </c>
      <c r="G11" s="132">
        <f>'Rate Proposal - 2 year'!$G$45*G5-G5</f>
        <v>0</v>
      </c>
      <c r="I11" s="59"/>
      <c r="J11" s="59"/>
      <c r="K11" s="59"/>
      <c r="L11" s="59"/>
      <c r="M11" s="59"/>
    </row>
    <row r="12" spans="1:13" ht="14.5" x14ac:dyDescent="0.35">
      <c r="A12" s="64"/>
      <c r="B12" s="65"/>
      <c r="C12" s="65"/>
      <c r="D12" s="65"/>
      <c r="E12" s="131"/>
      <c r="F12" s="131"/>
      <c r="G12" s="132"/>
      <c r="I12" s="59"/>
      <c r="J12" s="59"/>
      <c r="K12" s="59"/>
      <c r="L12" s="59"/>
      <c r="M12" s="59"/>
    </row>
    <row r="13" spans="1:13" ht="14.5" x14ac:dyDescent="0.35">
      <c r="A13" s="64" t="str">
        <f>"    3.  Other Changes"</f>
        <v xml:space="preserve">    3.  Other Changes</v>
      </c>
      <c r="B13" s="65"/>
      <c r="C13" s="65"/>
      <c r="D13" s="65"/>
      <c r="E13" s="131">
        <f>-E5*(1-'Rate Proposal - 2 year'!$G$51)</f>
        <v>0</v>
      </c>
      <c r="F13" s="131">
        <f>-F5*(1-'Rate Proposal - 2 year'!$G$51)</f>
        <v>0</v>
      </c>
      <c r="G13" s="132">
        <f>-G5*(1-'Rate Proposal - 2 year'!$G$51)</f>
        <v>0</v>
      </c>
      <c r="I13" s="59"/>
      <c r="J13" s="59"/>
      <c r="K13" s="59"/>
      <c r="L13" s="59"/>
      <c r="M13" s="59"/>
    </row>
    <row r="14" spans="1:13" ht="14.5" x14ac:dyDescent="0.35">
      <c r="A14" s="64"/>
      <c r="B14" s="65"/>
      <c r="C14" s="65"/>
      <c r="D14" s="65"/>
      <c r="E14" s="133"/>
      <c r="F14" s="133"/>
      <c r="G14" s="134"/>
      <c r="I14" s="59"/>
      <c r="J14" s="59"/>
      <c r="K14" s="59"/>
      <c r="L14" s="59"/>
      <c r="M14" s="59"/>
    </row>
    <row r="15" spans="1:13" ht="14.5" x14ac:dyDescent="0.35">
      <c r="A15" s="64" t="str">
        <f>"    4.  Total ( " &amp; year &amp; " Rates)"</f>
        <v xml:space="preserve">    4.  Total ( 2021 Rates)</v>
      </c>
      <c r="B15" s="65"/>
      <c r="C15" s="65"/>
      <c r="D15" s="65"/>
      <c r="E15" s="235">
        <f>'Rate Proposal - 2 year'!B17</f>
        <v>0</v>
      </c>
      <c r="F15" s="235">
        <f>'Rate Proposal - 2 year'!B18</f>
        <v>0</v>
      </c>
      <c r="G15" s="237">
        <f>'Rate Proposal - 2 year'!B19</f>
        <v>0</v>
      </c>
      <c r="I15" s="59"/>
      <c r="J15" s="59"/>
      <c r="K15" s="59"/>
      <c r="L15" s="59"/>
      <c r="M15" s="59"/>
    </row>
    <row r="16" spans="1:13" ht="14.5" x14ac:dyDescent="0.35">
      <c r="A16" s="64"/>
      <c r="B16" s="65"/>
      <c r="C16" s="65"/>
      <c r="D16" s="65"/>
      <c r="E16" s="133"/>
      <c r="F16" s="133"/>
      <c r="G16" s="134"/>
      <c r="I16" s="59"/>
      <c r="J16" s="59"/>
      <c r="K16" s="59"/>
      <c r="L16" s="59"/>
      <c r="M16" s="59"/>
    </row>
    <row r="17" spans="1:13" ht="14.5" x14ac:dyDescent="0.35">
      <c r="A17" s="64" t="str">
        <f>"C.   Percent Change from "&amp;year-1&amp;" to "&amp; year</f>
        <v>C.   Percent Change from 2020 to 2021</v>
      </c>
      <c r="B17" s="65"/>
      <c r="C17" s="65"/>
      <c r="D17" s="65"/>
      <c r="E17" s="133"/>
      <c r="F17" s="133"/>
      <c r="G17" s="134"/>
      <c r="I17" s="59"/>
      <c r="J17" s="59"/>
      <c r="K17" s="59"/>
      <c r="L17" s="59"/>
      <c r="M17" s="59"/>
    </row>
    <row r="18" spans="1:13" ht="14.5" x14ac:dyDescent="0.35">
      <c r="A18" s="64"/>
      <c r="B18" s="65"/>
      <c r="C18" s="65"/>
      <c r="D18" s="65"/>
      <c r="E18" s="133"/>
      <c r="F18" s="133"/>
      <c r="G18" s="134"/>
      <c r="I18" s="59"/>
      <c r="J18" s="59"/>
      <c r="K18" s="59"/>
      <c r="L18" s="59"/>
      <c r="M18" s="59"/>
    </row>
    <row r="19" spans="1:13" ht="14.5" x14ac:dyDescent="0.35">
      <c r="A19" s="64" t="str">
        <f>"    1.  Experience Change"</f>
        <v xml:space="preserve">    1.  Experience Change</v>
      </c>
      <c r="B19" s="65"/>
      <c r="C19" s="65"/>
      <c r="D19" s="65"/>
      <c r="E19" s="135" t="e">
        <f>E9/$E$5</f>
        <v>#DIV/0!</v>
      </c>
      <c r="F19" s="135" t="e">
        <f>F9/$F$5</f>
        <v>#DIV/0!</v>
      </c>
      <c r="G19" s="136" t="e">
        <f>G9/$G$5</f>
        <v>#DIV/0!</v>
      </c>
      <c r="I19" s="59"/>
      <c r="J19" s="59"/>
      <c r="K19" s="59"/>
      <c r="L19" s="59"/>
      <c r="M19" s="59"/>
    </row>
    <row r="20" spans="1:13" ht="14.5" x14ac:dyDescent="0.35">
      <c r="A20" s="64"/>
      <c r="B20" s="65"/>
      <c r="C20" s="65"/>
      <c r="D20" s="65"/>
      <c r="E20" s="135"/>
      <c r="F20" s="135"/>
      <c r="G20" s="136"/>
      <c r="I20" s="59"/>
      <c r="J20" s="59"/>
      <c r="K20" s="59"/>
      <c r="L20" s="59"/>
      <c r="M20" s="59"/>
    </row>
    <row r="21" spans="1:13" ht="14.5" x14ac:dyDescent="0.35">
      <c r="A21" s="64" t="str">
        <f>"    2.  Benefit Change"</f>
        <v xml:space="preserve">    2.  Benefit Change</v>
      </c>
      <c r="B21" s="65"/>
      <c r="C21" s="65"/>
      <c r="D21" s="65"/>
      <c r="E21" s="135" t="e">
        <f>E11/$E$5</f>
        <v>#DIV/0!</v>
      </c>
      <c r="F21" s="135" t="e">
        <f>F11/$F$5</f>
        <v>#DIV/0!</v>
      </c>
      <c r="G21" s="136" t="e">
        <f>G11/$G$5</f>
        <v>#DIV/0!</v>
      </c>
      <c r="I21" s="59"/>
      <c r="J21" s="59"/>
      <c r="K21" s="59"/>
      <c r="L21" s="59"/>
      <c r="M21" s="59"/>
    </row>
    <row r="22" spans="1:13" ht="14.5" x14ac:dyDescent="0.35">
      <c r="A22" s="64"/>
      <c r="B22" s="65"/>
      <c r="C22" s="65"/>
      <c r="D22" s="65"/>
      <c r="E22" s="135"/>
      <c r="F22" s="135"/>
      <c r="G22" s="136"/>
      <c r="I22" s="59"/>
      <c r="J22" s="59"/>
      <c r="K22" s="59"/>
      <c r="L22" s="59"/>
      <c r="M22" s="59"/>
    </row>
    <row r="23" spans="1:13" ht="14.5" x14ac:dyDescent="0.35">
      <c r="A23" s="64" t="str">
        <f>"    3.  Other Changes"</f>
        <v xml:space="preserve">    3.  Other Changes</v>
      </c>
      <c r="B23" s="65"/>
      <c r="C23" s="65"/>
      <c r="D23" s="65"/>
      <c r="E23" s="135" t="e">
        <f>E13/$E$5</f>
        <v>#DIV/0!</v>
      </c>
      <c r="F23" s="135" t="e">
        <f>F13/$F$5</f>
        <v>#DIV/0!</v>
      </c>
      <c r="G23" s="136" t="e">
        <f>G13/$G$5</f>
        <v>#DIV/0!</v>
      </c>
      <c r="I23" s="59"/>
      <c r="J23" s="59"/>
      <c r="K23" s="59"/>
      <c r="L23" s="59"/>
      <c r="M23" s="59"/>
    </row>
    <row r="24" spans="1:13" ht="14.5" x14ac:dyDescent="0.35">
      <c r="A24" s="64"/>
      <c r="B24" s="65"/>
      <c r="C24" s="65"/>
      <c r="D24" s="65"/>
      <c r="E24" s="135"/>
      <c r="F24" s="135"/>
      <c r="G24" s="136"/>
      <c r="I24" s="59"/>
      <c r="J24" s="59"/>
      <c r="K24" s="59"/>
      <c r="L24" s="59"/>
      <c r="M24" s="59"/>
    </row>
    <row r="25" spans="1:13" ht="15" thickBot="1" x14ac:dyDescent="0.4">
      <c r="A25" s="70" t="str">
        <f>"    4.  Total Changes"</f>
        <v xml:space="preserve">    4.  Total Changes</v>
      </c>
      <c r="B25" s="71"/>
      <c r="C25" s="71"/>
      <c r="D25" s="71"/>
      <c r="E25" s="238" t="e">
        <f>E15/$E$5-1</f>
        <v>#DIV/0!</v>
      </c>
      <c r="F25" s="238" t="e">
        <f>F15/$F$5-1</f>
        <v>#DIV/0!</v>
      </c>
      <c r="G25" s="239" t="e">
        <f>G15/$G$5-1</f>
        <v>#DIV/0!</v>
      </c>
      <c r="I25" s="59"/>
      <c r="J25" s="59"/>
      <c r="K25" s="59"/>
      <c r="L25" s="59"/>
      <c r="M25" s="59"/>
    </row>
    <row r="26" spans="1:13" ht="13.5" thickBot="1" x14ac:dyDescent="0.35"/>
    <row r="27" spans="1:13" ht="15" thickBot="1" x14ac:dyDescent="0.4">
      <c r="A27" s="285" t="s">
        <v>202</v>
      </c>
      <c r="B27" s="286"/>
      <c r="C27" s="286"/>
      <c r="D27" s="286"/>
      <c r="E27" s="286"/>
      <c r="F27" s="286"/>
      <c r="G27" s="259">
        <f>year</f>
        <v>2021</v>
      </c>
    </row>
    <row r="28" spans="1:13" ht="14.5" x14ac:dyDescent="0.35">
      <c r="A28" s="252" t="str">
        <f>"Incurred Claims"</f>
        <v>Incurred Claims</v>
      </c>
      <c r="B28" s="280"/>
      <c r="C28" s="280"/>
      <c r="D28" s="280"/>
      <c r="E28" s="280"/>
      <c r="F28" s="280"/>
      <c r="G28" s="281" t="e">
        <f>'Rate Proposal - 2 year'!G58</f>
        <v>#DIV/0!</v>
      </c>
    </row>
    <row r="29" spans="1:13" ht="14.5" x14ac:dyDescent="0.35">
      <c r="A29" s="64" t="str">
        <f>"Incurred Expenses"</f>
        <v>Incurred Expenses</v>
      </c>
      <c r="B29" s="3"/>
      <c r="C29" s="3"/>
      <c r="D29" s="3"/>
      <c r="E29" s="3"/>
      <c r="F29" s="3"/>
      <c r="G29" s="282">
        <f>'Rate Proposal - 2 year'!G81</f>
        <v>0</v>
      </c>
    </row>
    <row r="30" spans="1:13" ht="14.5" x14ac:dyDescent="0.35">
      <c r="A30" s="64" t="str">
        <f>"Estimated Service Charge"</f>
        <v>Estimated Service Charge</v>
      </c>
      <c r="B30" s="3"/>
      <c r="C30" s="3"/>
      <c r="D30" s="3"/>
      <c r="E30" s="3"/>
      <c r="F30" s="3"/>
      <c r="G30" s="282">
        <f>'Rate Proposal - 2 year'!G84</f>
        <v>0</v>
      </c>
    </row>
    <row r="31" spans="1:13" ht="15" thickBot="1" x14ac:dyDescent="0.4">
      <c r="A31" s="70" t="str">
        <f>"Estimated Cost of Facility Capital"</f>
        <v>Estimated Cost of Facility Capital</v>
      </c>
      <c r="B31" s="283"/>
      <c r="C31" s="283"/>
      <c r="D31" s="283"/>
      <c r="E31" s="283"/>
      <c r="F31" s="283"/>
      <c r="G31" s="284">
        <f>'Rate Proposal - 2 year'!G85</f>
        <v>0</v>
      </c>
    </row>
    <row r="32" spans="1:13" ht="13.5" thickBot="1" x14ac:dyDescent="0.35"/>
    <row r="33" spans="1:7" ht="15" thickBot="1" x14ac:dyDescent="0.4">
      <c r="A33" s="285" t="s">
        <v>357</v>
      </c>
      <c r="B33" s="286"/>
      <c r="C33" s="286"/>
      <c r="D33" s="286"/>
      <c r="E33" s="286"/>
      <c r="F33" s="286"/>
      <c r="G33" s="259">
        <f>year</f>
        <v>2021</v>
      </c>
    </row>
    <row r="34" spans="1:7" ht="14.5" x14ac:dyDescent="0.35">
      <c r="A34" s="252" t="s">
        <v>358</v>
      </c>
      <c r="B34" s="280"/>
      <c r="C34" s="280"/>
      <c r="D34" s="280"/>
      <c r="E34" s="280"/>
      <c r="F34" s="280"/>
      <c r="G34" s="281">
        <f>'Rate Proposal - 2 year'!G152/12</f>
        <v>0</v>
      </c>
    </row>
    <row r="35" spans="1:7" ht="15" thickBot="1" x14ac:dyDescent="0.4">
      <c r="A35" s="70" t="s">
        <v>359</v>
      </c>
      <c r="B35" s="283"/>
      <c r="C35" s="283"/>
      <c r="D35" s="283"/>
      <c r="E35" s="283"/>
      <c r="F35" s="283"/>
      <c r="G35" s="284" t="e">
        <f>'Rate Proposal - 2 year'!G159/12</f>
        <v>#DIV/0!</v>
      </c>
    </row>
  </sheetData>
  <sheetProtection algorithmName="SHA-512" hashValue="Wh2uNJqc6btNyfoLSJ7YiMbn6nFD8QO0EdDdTplGSzUeze6yYgD0kDHfqKPueAJDoGvHVeE9IATCui5deOSneg==" saltValue="45dnaM0aS4YpbDkrCD64Tg==" spinCount="100000" sheet="1" objects="1" scenarios="1"/>
  <mergeCells count="9">
    <mergeCell ref="A3:G3"/>
    <mergeCell ref="H3:J3"/>
    <mergeCell ref="K3:M3"/>
    <mergeCell ref="A1:G1"/>
    <mergeCell ref="H1:J1"/>
    <mergeCell ref="K1:M1"/>
    <mergeCell ref="A2:G2"/>
    <mergeCell ref="H2:J2"/>
    <mergeCell ref="K2:M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13"/>
    <pageSetUpPr fitToPage="1"/>
  </sheetPr>
  <dimension ref="A1:W187"/>
  <sheetViews>
    <sheetView zoomScaleNormal="100" workbookViewId="0">
      <selection activeCell="J32" sqref="J32"/>
    </sheetView>
  </sheetViews>
  <sheetFormatPr defaultColWidth="8" defaultRowHeight="13" x14ac:dyDescent="0.3"/>
  <cols>
    <col min="1" max="1" width="2.81640625" style="165" customWidth="1"/>
    <col min="2" max="5" width="14.7265625" style="165" customWidth="1"/>
    <col min="6" max="6" width="16.1796875" style="165" customWidth="1"/>
    <col min="7" max="9" width="14.7265625" style="165" customWidth="1"/>
    <col min="10" max="10" width="7.81640625" style="165" customWidth="1"/>
    <col min="11" max="11" width="12.1796875" style="165" customWidth="1"/>
    <col min="12" max="12" width="10.7265625" style="165" customWidth="1"/>
    <col min="13" max="16" width="8" style="165" customWidth="1"/>
    <col min="17" max="22" width="8" style="165"/>
    <col min="23" max="24" width="0" style="165" hidden="1" customWidth="1"/>
    <col min="25" max="16384" width="8" style="165"/>
  </cols>
  <sheetData>
    <row r="1" spans="1:23" ht="23.5" x14ac:dyDescent="0.55000000000000004">
      <c r="A1" s="469" t="s">
        <v>250</v>
      </c>
      <c r="B1" s="469"/>
      <c r="C1" s="469"/>
      <c r="D1" s="469"/>
      <c r="E1" s="469"/>
      <c r="F1" s="469"/>
      <c r="G1" s="469"/>
      <c r="H1" s="469"/>
      <c r="I1" s="469"/>
      <c r="T1" s="166"/>
      <c r="U1" s="4"/>
    </row>
    <row r="2" spans="1:23" ht="15.75" customHeight="1" x14ac:dyDescent="0.3">
      <c r="A2" s="470" t="str">
        <f xml:space="preserve"> Plan &amp; " - " &amp;IF(Option="1, 3, 2", Code&amp;"1, "&amp;Code&amp;"3, "&amp;Code&amp;"2", IF(Option="4, 6, 5", Code&amp;"4, "&amp;Code&amp;"6, "&amp;Code&amp;"5", ""))</f>
        <v xml:space="preserve"> - </v>
      </c>
      <c r="B2" s="470"/>
      <c r="C2" s="470"/>
      <c r="D2" s="470"/>
      <c r="E2" s="470"/>
      <c r="F2" s="470"/>
      <c r="G2" s="470"/>
      <c r="H2" s="470"/>
      <c r="I2" s="470"/>
      <c r="J2" s="307"/>
      <c r="K2" s="307"/>
      <c r="T2" s="166"/>
      <c r="U2" s="4"/>
    </row>
    <row r="3" spans="1:23" ht="14.5" x14ac:dyDescent="0.35">
      <c r="A3" s="490" t="s">
        <v>0</v>
      </c>
      <c r="B3" s="490"/>
      <c r="C3" s="490"/>
      <c r="D3" s="490"/>
      <c r="E3" s="490"/>
      <c r="F3" s="490"/>
      <c r="G3" s="490"/>
      <c r="H3" s="490"/>
      <c r="I3" s="490"/>
      <c r="J3" s="167"/>
      <c r="K3" s="167"/>
      <c r="L3" s="167"/>
      <c r="W3" s="166" t="e">
        <f>#REF!+0.0025</f>
        <v>#REF!</v>
      </c>
    </row>
    <row r="4" spans="1:23" ht="14.5" x14ac:dyDescent="0.35">
      <c r="A4" s="168"/>
      <c r="B4" s="167"/>
      <c r="C4" s="167"/>
      <c r="D4" s="167"/>
      <c r="E4" s="167"/>
      <c r="F4" s="169"/>
      <c r="G4" s="169"/>
      <c r="H4" s="169"/>
      <c r="I4" s="169"/>
      <c r="J4" s="167"/>
      <c r="K4" s="167"/>
      <c r="L4" s="167"/>
      <c r="W4" s="166" t="e">
        <f>#REF!+0.0025</f>
        <v>#REF!</v>
      </c>
    </row>
    <row r="5" spans="1:23" ht="14.5" x14ac:dyDescent="0.35">
      <c r="A5" s="168" t="s">
        <v>1</v>
      </c>
      <c r="B5" s="167" t="str">
        <f>year &amp;" Rates, Enrollment, and Income"</f>
        <v>2021 Rates, Enrollment, and Income</v>
      </c>
      <c r="C5" s="167"/>
      <c r="D5" s="167"/>
      <c r="E5" s="167"/>
      <c r="F5" s="167"/>
      <c r="G5" s="167"/>
      <c r="H5" s="167"/>
      <c r="I5" s="167"/>
      <c r="J5" s="167"/>
      <c r="K5" s="167"/>
      <c r="L5" s="167"/>
      <c r="W5" s="166" t="e">
        <f t="shared" ref="W5" si="0">W4+0.0025</f>
        <v>#REF!</v>
      </c>
    </row>
    <row r="6" spans="1:23" ht="14.5" x14ac:dyDescent="0.35">
      <c r="A6" s="167"/>
      <c r="B6" s="167"/>
      <c r="C6" s="167"/>
      <c r="D6" s="167"/>
      <c r="E6" s="167"/>
      <c r="F6" s="167"/>
      <c r="G6" s="167"/>
      <c r="H6" s="167"/>
      <c r="I6" s="167"/>
      <c r="J6" s="167"/>
      <c r="K6" s="167"/>
      <c r="L6" s="167"/>
    </row>
    <row r="7" spans="1:23" ht="14.5" x14ac:dyDescent="0.35">
      <c r="A7" s="167"/>
      <c r="B7" s="167"/>
      <c r="C7" s="167" t="s">
        <v>5</v>
      </c>
      <c r="D7" s="167"/>
      <c r="E7" s="167"/>
      <c r="F7" s="167"/>
      <c r="G7" s="167"/>
      <c r="H7" s="167"/>
      <c r="I7" s="167"/>
      <c r="J7" s="167"/>
      <c r="K7" s="167"/>
      <c r="L7" s="167"/>
    </row>
    <row r="8" spans="1:23" ht="14.5" x14ac:dyDescent="0.35">
      <c r="A8" s="167"/>
      <c r="B8" s="167"/>
      <c r="C8" s="167" t="s">
        <v>6</v>
      </c>
      <c r="D8" s="167"/>
      <c r="E8" s="167" t="s">
        <v>74</v>
      </c>
      <c r="F8" s="167"/>
      <c r="G8" s="167" t="s">
        <v>30</v>
      </c>
      <c r="H8" s="167"/>
      <c r="I8" s="167"/>
      <c r="J8" s="167"/>
      <c r="K8" s="167"/>
      <c r="L8" s="167"/>
    </row>
    <row r="9" spans="1:23" ht="15" thickBot="1" x14ac:dyDescent="0.4">
      <c r="A9" s="167"/>
      <c r="B9" s="167"/>
      <c r="C9" s="167" t="s">
        <v>7</v>
      </c>
      <c r="D9" s="167"/>
      <c r="E9" s="167" t="s">
        <v>28</v>
      </c>
      <c r="F9" s="167"/>
      <c r="G9" s="167" t="s">
        <v>8</v>
      </c>
      <c r="H9" s="167"/>
      <c r="I9" s="167"/>
      <c r="J9" s="167"/>
      <c r="K9" s="167"/>
      <c r="L9" s="167"/>
    </row>
    <row r="10" spans="1:23" ht="15" thickBot="1" x14ac:dyDescent="0.4">
      <c r="A10" s="167"/>
      <c r="B10" s="167" t="s">
        <v>33</v>
      </c>
      <c r="C10" s="88"/>
      <c r="D10" s="170" t="s">
        <v>40</v>
      </c>
      <c r="E10" s="171"/>
      <c r="F10" s="170" t="s">
        <v>36</v>
      </c>
      <c r="G10" s="172">
        <f>C10*E10*26</f>
        <v>0</v>
      </c>
      <c r="H10" s="167"/>
      <c r="I10" s="167"/>
      <c r="J10" s="167"/>
      <c r="K10" s="167"/>
      <c r="L10" s="167"/>
    </row>
    <row r="11" spans="1:23" ht="15" thickBot="1" x14ac:dyDescent="0.4">
      <c r="A11" s="167"/>
      <c r="B11" s="167" t="s">
        <v>190</v>
      </c>
      <c r="C11" s="88"/>
      <c r="D11" s="170" t="s">
        <v>40</v>
      </c>
      <c r="E11" s="171"/>
      <c r="F11" s="170" t="s">
        <v>36</v>
      </c>
      <c r="G11" s="172">
        <f>C11*E11*26</f>
        <v>0</v>
      </c>
      <c r="H11" s="167"/>
      <c r="I11" s="167"/>
      <c r="J11" s="167"/>
      <c r="K11" s="167"/>
      <c r="L11" s="167"/>
    </row>
    <row r="12" spans="1:23" ht="15" thickBot="1" x14ac:dyDescent="0.4">
      <c r="A12" s="167"/>
      <c r="B12" s="167" t="s">
        <v>34</v>
      </c>
      <c r="C12" s="88"/>
      <c r="D12" s="170" t="s">
        <v>40</v>
      </c>
      <c r="E12" s="171"/>
      <c r="F12" s="170" t="s">
        <v>36</v>
      </c>
      <c r="G12" s="173">
        <f>C12*E12*26</f>
        <v>0</v>
      </c>
      <c r="H12" s="167"/>
      <c r="I12" s="167"/>
      <c r="J12" s="167"/>
      <c r="K12" s="167"/>
      <c r="L12" s="167"/>
    </row>
    <row r="13" spans="1:23" ht="14.5" x14ac:dyDescent="0.35">
      <c r="A13" s="167"/>
      <c r="B13" s="167" t="s">
        <v>35</v>
      </c>
      <c r="C13" s="167"/>
      <c r="D13" s="167"/>
      <c r="E13" s="174">
        <f>SUM(E10:E12)</f>
        <v>0</v>
      </c>
      <c r="F13" s="167"/>
      <c r="G13" s="173">
        <f>SUM(G10:G12)</f>
        <v>0</v>
      </c>
      <c r="H13" s="167"/>
      <c r="I13" s="167"/>
      <c r="J13" s="167"/>
      <c r="K13" s="167"/>
      <c r="L13" s="167"/>
    </row>
    <row r="14" spans="1:23" ht="14.5" x14ac:dyDescent="0.35">
      <c r="A14" s="167"/>
      <c r="B14" s="167"/>
      <c r="C14" s="167"/>
      <c r="D14" s="167"/>
      <c r="E14" s="167"/>
      <c r="F14" s="167"/>
      <c r="G14" s="167"/>
      <c r="H14" s="167"/>
      <c r="I14" s="167"/>
      <c r="J14" s="167"/>
      <c r="K14" s="167"/>
      <c r="L14" s="167"/>
    </row>
    <row r="15" spans="1:23" s="360" customFormat="1" ht="15" customHeight="1" thickBot="1" x14ac:dyDescent="0.4">
      <c r="A15" s="358" t="s">
        <v>2</v>
      </c>
      <c r="B15" s="7" t="str">
        <f>"The table below can be used to estimate the "&amp;year&amp;" Enrollee Contribution. Please see the 'Help' sheet for more details."</f>
        <v>The table below can be used to estimate the 2021 Enrollee Contribution. Please see the 'Help' sheet for more details.</v>
      </c>
      <c r="C15" s="9"/>
      <c r="D15" s="7"/>
      <c r="E15" s="24"/>
      <c r="F15" s="7"/>
      <c r="G15" s="25"/>
      <c r="H15" s="7"/>
      <c r="I15" s="27"/>
      <c r="J15" s="266"/>
      <c r="K15" s="268"/>
      <c r="L15" s="359"/>
    </row>
    <row r="16" spans="1:23" s="360" customFormat="1" ht="15" thickBot="1" x14ac:dyDescent="0.4">
      <c r="A16" s="358"/>
      <c r="B16" s="7"/>
      <c r="C16" s="8"/>
      <c r="E16" s="8" t="s">
        <v>336</v>
      </c>
      <c r="F16" s="315" t="s">
        <v>334</v>
      </c>
      <c r="G16" s="25"/>
      <c r="H16" s="7"/>
      <c r="I16" s="27"/>
      <c r="J16" s="266"/>
      <c r="K16" s="268"/>
      <c r="L16" s="359"/>
    </row>
    <row r="17" spans="1:12" s="360" customFormat="1" ht="14.5" x14ac:dyDescent="0.35">
      <c r="A17" s="359"/>
      <c r="B17" s="9"/>
      <c r="C17" s="9"/>
      <c r="D17" s="7"/>
      <c r="E17" s="24"/>
      <c r="F17" s="7"/>
      <c r="G17" s="25"/>
      <c r="H17" s="7"/>
      <c r="I17" s="27"/>
      <c r="J17" s="266"/>
      <c r="K17" s="268"/>
      <c r="L17" s="359"/>
    </row>
    <row r="18" spans="1:12" s="360" customFormat="1" ht="15.75" customHeight="1" thickBot="1" x14ac:dyDescent="0.4">
      <c r="A18" s="359"/>
      <c r="B18" s="4"/>
      <c r="C18" s="7" t="str">
        <f>"For "&amp;year&amp;", the Government Contribution is the lesser of:"</f>
        <v>For 2021, the Government Contribution is the lesser of:</v>
      </c>
      <c r="D18" s="7"/>
      <c r="E18" s="27"/>
      <c r="F18" s="7"/>
      <c r="G18" s="7"/>
      <c r="H18" s="441" t="str">
        <f ca="1">"NOTE: The non-Postal and annuitant Government Contribution formula of 75% and 72% has been input in cells "&amp;MID(CELL("address", C19), 2, 1)&amp;RIGHT(CELL("address", C19),2)&amp;"-"&amp;MID(CELL("address", C20), 2, 1)&amp;RIGHT(CELL("address", C20),2)&amp;", but can be changed to make estimations for different contribution formulas."</f>
        <v>NOTE: The non-Postal and annuitant Government Contribution formula of 75% and 72% has been input in cells C19-C20, but can be changed to make estimations for different contribution formulas.</v>
      </c>
      <c r="I18" s="442"/>
      <c r="J18" s="293"/>
      <c r="K18" s="293"/>
    </row>
    <row r="19" spans="1:12" s="360" customFormat="1" ht="15" thickBot="1" x14ac:dyDescent="0.4">
      <c r="A19" s="359"/>
      <c r="B19" s="4"/>
      <c r="C19" s="287">
        <v>0.75</v>
      </c>
      <c r="D19" s="7" t="s">
        <v>206</v>
      </c>
      <c r="E19" s="4"/>
      <c r="F19" s="292"/>
      <c r="G19" s="293"/>
      <c r="H19" s="443"/>
      <c r="I19" s="444"/>
      <c r="J19" s="293"/>
      <c r="K19" s="293"/>
    </row>
    <row r="20" spans="1:12" s="360" customFormat="1" ht="15" thickBot="1" x14ac:dyDescent="0.4">
      <c r="A20" s="359"/>
      <c r="B20" s="4"/>
      <c r="C20" s="288">
        <v>0.72</v>
      </c>
      <c r="D20" s="7" t="s">
        <v>207</v>
      </c>
      <c r="E20" s="4"/>
      <c r="F20" s="293"/>
      <c r="G20" s="293"/>
      <c r="H20" s="443"/>
      <c r="I20" s="444"/>
      <c r="J20" s="293"/>
      <c r="K20" s="293"/>
    </row>
    <row r="21" spans="1:12" s="360" customFormat="1" ht="14.5" x14ac:dyDescent="0.35">
      <c r="A21" s="359"/>
      <c r="B21" s="354"/>
      <c r="C21" s="210"/>
      <c r="D21" s="290"/>
      <c r="E21" s="210"/>
      <c r="F21" s="354"/>
      <c r="G21" s="297"/>
      <c r="H21" s="443"/>
      <c r="I21" s="444"/>
      <c r="J21" s="293"/>
      <c r="K21" s="293"/>
      <c r="L21" s="359"/>
    </row>
    <row r="22" spans="1:12" s="360" customFormat="1" ht="15" customHeight="1" x14ac:dyDescent="0.35">
      <c r="A22" s="359"/>
      <c r="B22" s="449"/>
      <c r="C22" s="485" t="s">
        <v>204</v>
      </c>
      <c r="D22" s="486" t="str">
        <f>"Est. "&amp;year&amp;" Max. Gov't Contrib."</f>
        <v>Est. 2021 Max. Gov't Contrib.</v>
      </c>
      <c r="E22" s="486" t="str">
        <f>"Est. "&amp;year&amp;" Gov't Contribution"</f>
        <v>Est. 2021 Gov't Contribution</v>
      </c>
      <c r="F22" s="486" t="str">
        <f>"Est. "&amp;year&amp;" Enrollee Contribution"</f>
        <v>Est. 2021 Enrollee Contribution</v>
      </c>
      <c r="G22" s="291"/>
      <c r="H22" s="445"/>
      <c r="I22" s="446"/>
      <c r="J22" s="293"/>
      <c r="K22" s="361"/>
    </row>
    <row r="23" spans="1:12" s="360" customFormat="1" ht="15" thickBot="1" x14ac:dyDescent="0.4">
      <c r="A23" s="359"/>
      <c r="B23" s="449"/>
      <c r="C23" s="485"/>
      <c r="D23" s="486"/>
      <c r="E23" s="486"/>
      <c r="F23" s="486"/>
      <c r="G23" s="291"/>
      <c r="H23" s="293"/>
      <c r="I23" s="293"/>
      <c r="J23" s="293"/>
    </row>
    <row r="24" spans="1:12" s="360" customFormat="1" ht="15" thickBot="1" x14ac:dyDescent="0.4">
      <c r="A24" s="359"/>
      <c r="B24" s="301" t="s">
        <v>33</v>
      </c>
      <c r="C24" s="289">
        <v>0</v>
      </c>
      <c r="D24" s="279">
        <f>IF($F$16="Bi-Weekly", ROUND(ROUND(GovtMaxS*$C$20,2)*(1+C24), 2), ROUND(ROUND(ROUND(GovtMaxS*$C$20,2)*(1+C24), 2)*26/12, 2))</f>
        <v>235.77</v>
      </c>
      <c r="E24" s="277">
        <f>IF($F$16="Bi-Weekly", ROUND(MIN(D24, ROUND(C10*1.04, 2)*$C$19),2), ROUND(MIN(D24, ROUND(ROUND(C10*1.04, 2)*(26/12),2)*$C$19),2))</f>
        <v>0</v>
      </c>
      <c r="F24" s="277">
        <f>IF($F$16="Bi-Weekly",ROUND(C10*1.04, 2)-E24,ROUND(ROUND(C10*1.04,2)*26/12,2)-E24)</f>
        <v>0</v>
      </c>
      <c r="G24" s="291"/>
      <c r="H24" s="293"/>
      <c r="I24" s="293"/>
      <c r="J24" s="293"/>
    </row>
    <row r="25" spans="1:12" s="360" customFormat="1" ht="15" thickBot="1" x14ac:dyDescent="0.4">
      <c r="A25" s="359"/>
      <c r="B25" s="301" t="s">
        <v>190</v>
      </c>
      <c r="C25" s="289">
        <v>0</v>
      </c>
      <c r="D25" s="279">
        <f>IF($F$16="Bi-Weekly", ROUND(ROUND(GovtMaxP*$C$20,2)*(1+C25), 2), ROUND(ROUND(ROUND(GovtMaxP*$C$20,2)*(1+C25), 2)*26/12, 2))</f>
        <v>504.12</v>
      </c>
      <c r="E25" s="277">
        <f>IF($F$16="Bi-Weekly", ROUND(MIN(D25, ROUND(C11*1.04, 2)*$C$19),2), ROUND(MIN(D25, ROUND(ROUND(C11*1.04, 2)*(26/12),2)*$C$19),2))</f>
        <v>0</v>
      </c>
      <c r="F25" s="277">
        <f>IF($F$16="Bi-Weekly",ROUND(C11*1.04, 2)-E25,ROUND(ROUND(C11*1.04,2)*26/12,2)-E25)</f>
        <v>0</v>
      </c>
      <c r="G25" s="291"/>
      <c r="H25" s="293"/>
      <c r="I25" s="293"/>
      <c r="J25" s="293"/>
    </row>
    <row r="26" spans="1:12" s="360" customFormat="1" ht="15" thickBot="1" x14ac:dyDescent="0.4">
      <c r="A26" s="359"/>
      <c r="B26" s="301" t="s">
        <v>34</v>
      </c>
      <c r="C26" s="289">
        <v>0</v>
      </c>
      <c r="D26" s="279">
        <f>IF($F$16="Bi-Weekly", ROUND(ROUND(GovtMaxF*$C$20,2)*(1+C26), 2), ROUND(ROUND(ROUND(GovtMaxF*$C$20,2)*(1+C26), 2)*26/12, 2))</f>
        <v>546.47</v>
      </c>
      <c r="E26" s="277">
        <f>IF($F$16="Bi-Weekly", ROUND(MIN(D26, ROUND(C12*1.04, 2)*$C$19),2), ROUND(MIN(D26, ROUND(ROUND(C12*1.04, 2)*(26/12),2)*$C$19),2))</f>
        <v>0</v>
      </c>
      <c r="F26" s="277">
        <f>IF($F$16="Bi-Weekly",ROUND(C12*1.04, 2)-E26,ROUND(ROUND(C12*1.04,2)*26/12,2)-E26)</f>
        <v>0</v>
      </c>
      <c r="G26" s="225"/>
      <c r="H26" s="293"/>
      <c r="I26" s="293"/>
      <c r="J26" s="293"/>
    </row>
    <row r="27" spans="1:12" s="360" customFormat="1" ht="14.5" x14ac:dyDescent="0.35">
      <c r="A27" s="359"/>
      <c r="B27" s="301"/>
      <c r="C27" s="362"/>
      <c r="D27" s="308"/>
      <c r="E27" s="309"/>
      <c r="F27" s="309"/>
      <c r="G27" s="225"/>
      <c r="H27" s="293"/>
      <c r="I27" s="293"/>
      <c r="J27" s="293"/>
    </row>
    <row r="28" spans="1:12" s="360" customFormat="1" ht="15" thickBot="1" x14ac:dyDescent="0.4">
      <c r="A28" s="359"/>
      <c r="B28" s="278"/>
      <c r="C28" s="363"/>
      <c r="D28" s="363"/>
      <c r="E28" s="363"/>
      <c r="F28" s="363"/>
      <c r="G28" s="363"/>
      <c r="H28" s="363"/>
      <c r="I28" s="225"/>
      <c r="J28" s="293"/>
      <c r="K28" s="293"/>
      <c r="L28" s="359"/>
    </row>
    <row r="29" spans="1:12" ht="15" thickBot="1" x14ac:dyDescent="0.4">
      <c r="A29" s="168" t="s">
        <v>3</v>
      </c>
      <c r="B29" s="168" t="str">
        <f>"( c )  What is your estimate of the ultimate claims for " &amp;year&amp;"?"</f>
        <v>( c )  What is your estimate of the ultimate claims for 2021?</v>
      </c>
      <c r="C29" s="167"/>
      <c r="D29" s="167"/>
      <c r="E29" s="167"/>
      <c r="F29" s="167"/>
      <c r="G29" s="167"/>
      <c r="H29" s="167"/>
      <c r="I29" s="175"/>
      <c r="J29" s="167"/>
      <c r="K29" s="167"/>
      <c r="L29" s="167"/>
    </row>
    <row r="30" spans="1:12" ht="15" thickBot="1" x14ac:dyDescent="0.4">
      <c r="A30" s="167"/>
      <c r="B30" s="168" t="str">
        <f>"( d ) What portion of ultimate " &amp;year&amp; " claims will be paid as of 12/31/" &amp;year&amp; "?"</f>
        <v>( d ) What portion of ultimate 2021 claims will be paid as of 12/31/2021?</v>
      </c>
      <c r="C30" s="167"/>
      <c r="D30" s="167"/>
      <c r="E30" s="167"/>
      <c r="F30" s="167"/>
      <c r="G30" s="167"/>
      <c r="H30" s="167"/>
      <c r="I30" s="406"/>
      <c r="J30" s="167"/>
      <c r="K30" s="167"/>
      <c r="L30" s="167"/>
    </row>
    <row r="31" spans="1:12" ht="14.5" x14ac:dyDescent="0.35">
      <c r="A31" s="167"/>
      <c r="B31" s="167"/>
      <c r="C31" s="167"/>
      <c r="D31" s="167"/>
      <c r="E31" s="167"/>
      <c r="F31" s="167"/>
      <c r="G31" s="167"/>
      <c r="H31" s="167"/>
      <c r="I31" s="167"/>
      <c r="J31" s="167"/>
      <c r="K31" s="167"/>
      <c r="L31" s="167"/>
    </row>
    <row r="32" spans="1:12" ht="15" customHeight="1" x14ac:dyDescent="0.35">
      <c r="A32" s="168" t="s">
        <v>251</v>
      </c>
      <c r="B32" s="167" t="s">
        <v>252</v>
      </c>
      <c r="C32" s="167"/>
      <c r="D32" s="167"/>
      <c r="E32" s="167"/>
      <c r="F32" s="167"/>
      <c r="G32" s="167"/>
      <c r="H32" s="167"/>
      <c r="I32" s="167"/>
      <c r="J32" s="167"/>
      <c r="K32" s="167"/>
      <c r="L32" s="167"/>
    </row>
    <row r="33" spans="1:15" ht="15" thickBot="1" x14ac:dyDescent="0.4">
      <c r="A33" s="167"/>
      <c r="B33" s="176" t="s">
        <v>68</v>
      </c>
      <c r="C33" s="167" t="s">
        <v>386</v>
      </c>
      <c r="D33" s="167"/>
      <c r="E33" s="167" t="s">
        <v>9</v>
      </c>
      <c r="F33" s="167"/>
      <c r="G33" s="167" t="s">
        <v>152</v>
      </c>
      <c r="H33" s="167"/>
      <c r="I33" s="167"/>
      <c r="J33" s="167"/>
      <c r="K33" s="167"/>
      <c r="L33" s="167"/>
    </row>
    <row r="34" spans="1:15" ht="15" thickBot="1" x14ac:dyDescent="0.4">
      <c r="A34" s="167"/>
      <c r="B34" s="177">
        <f>year</f>
        <v>2021</v>
      </c>
      <c r="C34" s="178"/>
      <c r="D34" s="167"/>
      <c r="E34" s="178"/>
      <c r="F34" s="167"/>
      <c r="G34" s="178"/>
      <c r="H34" s="167"/>
      <c r="I34" s="167"/>
      <c r="J34" s="167"/>
      <c r="K34" s="167"/>
      <c r="L34" s="167"/>
    </row>
    <row r="35" spans="1:15" ht="14.5" x14ac:dyDescent="0.35">
      <c r="A35" s="167"/>
      <c r="B35" s="167"/>
      <c r="C35" s="167"/>
      <c r="D35" s="167"/>
      <c r="E35" s="167"/>
      <c r="F35" s="167"/>
      <c r="G35" s="167"/>
      <c r="H35" s="167"/>
      <c r="I35" s="167"/>
      <c r="J35" s="167"/>
      <c r="K35" s="167"/>
      <c r="L35" s="167"/>
    </row>
    <row r="36" spans="1:15" ht="14.5" x14ac:dyDescent="0.35">
      <c r="A36" s="489" t="s">
        <v>385</v>
      </c>
      <c r="B36" s="489"/>
      <c r="C36" s="489"/>
      <c r="D36" s="489"/>
      <c r="E36" s="489"/>
      <c r="F36" s="489"/>
      <c r="G36" s="489"/>
      <c r="H36" s="489"/>
      <c r="I36" s="489"/>
      <c r="J36" s="167"/>
      <c r="K36" s="167"/>
      <c r="L36" s="167"/>
    </row>
    <row r="37" spans="1:15" ht="14.5" x14ac:dyDescent="0.35">
      <c r="A37" s="489"/>
      <c r="B37" s="489"/>
      <c r="C37" s="489"/>
      <c r="D37" s="489"/>
      <c r="E37" s="489"/>
      <c r="F37" s="489"/>
      <c r="G37" s="489"/>
      <c r="H37" s="489"/>
      <c r="I37" s="489"/>
      <c r="J37" s="167"/>
      <c r="K37" s="167"/>
      <c r="L37" s="167"/>
    </row>
    <row r="38" spans="1:15" ht="14.5" x14ac:dyDescent="0.35">
      <c r="A38" s="167"/>
      <c r="B38" s="167"/>
      <c r="C38" s="167"/>
      <c r="D38" s="167"/>
      <c r="E38" s="167"/>
      <c r="F38" s="167"/>
      <c r="G38" s="167"/>
      <c r="H38" s="167"/>
      <c r="I38" s="167"/>
      <c r="J38" s="167"/>
      <c r="K38" s="167"/>
      <c r="L38" s="167"/>
    </row>
    <row r="39" spans="1:15" ht="14.5" x14ac:dyDescent="0.35">
      <c r="A39" s="54" t="str">
        <f>"16. " &amp;year&amp; " Contingency Interest and Investment Income, and Reserve Calculations"</f>
        <v>16. 2021 Contingency Interest and Investment Income, and Reserve Calculations</v>
      </c>
      <c r="B39" s="167"/>
      <c r="C39" s="167"/>
      <c r="D39" s="167"/>
      <c r="E39" s="167"/>
      <c r="F39" s="167"/>
      <c r="G39" s="167"/>
      <c r="H39" s="167"/>
      <c r="I39" s="167"/>
      <c r="J39" s="167"/>
      <c r="K39" s="167"/>
      <c r="L39" s="167"/>
    </row>
    <row r="40" spans="1:15" ht="14.5" x14ac:dyDescent="0.35">
      <c r="A40" s="54"/>
      <c r="B40" s="167"/>
      <c r="C40" s="167"/>
      <c r="D40" s="167"/>
      <c r="E40" s="167"/>
      <c r="F40" s="167"/>
      <c r="G40" s="167"/>
      <c r="H40" s="167"/>
      <c r="I40" s="167"/>
      <c r="J40" s="167"/>
      <c r="K40" s="167"/>
      <c r="L40" s="167"/>
    </row>
    <row r="41" spans="1:15" ht="15" thickBot="1" x14ac:dyDescent="0.4">
      <c r="A41" s="168"/>
      <c r="B41" s="167" t="str">
        <f>"( a ) 12/31/" &amp;year&amp; " Contingency Reserve Balance"</f>
        <v>( a ) 12/31/2021 Contingency Reserve Balance</v>
      </c>
      <c r="C41" s="167"/>
      <c r="D41" s="167"/>
      <c r="E41" s="167"/>
      <c r="F41" s="167"/>
      <c r="G41" s="167"/>
      <c r="H41" s="167"/>
      <c r="I41" s="167"/>
      <c r="J41" s="167"/>
      <c r="K41" s="167"/>
      <c r="L41" s="167"/>
    </row>
    <row r="42" spans="1:15" ht="15" thickBot="1" x14ac:dyDescent="0.4">
      <c r="A42" s="167"/>
      <c r="B42" s="167"/>
      <c r="C42" s="168" t="str">
        <f>"(1) Contingency Reserve Balance 12/31/" &amp;year-1</f>
        <v>(1) Contingency Reserve Balance 12/31/2020</v>
      </c>
      <c r="D42" s="167"/>
      <c r="E42" s="167"/>
      <c r="F42" s="167"/>
      <c r="G42" s="167" t="s">
        <v>160</v>
      </c>
      <c r="H42" s="167"/>
      <c r="I42" s="179"/>
      <c r="J42" s="167"/>
      <c r="K42" s="167"/>
      <c r="L42" s="167"/>
      <c r="O42" s="217"/>
    </row>
    <row r="43" spans="1:15" s="217" customFormat="1" ht="14.5" x14ac:dyDescent="0.35">
      <c r="A43" s="214"/>
      <c r="B43" s="214"/>
      <c r="C43" s="215" t="str">
        <f>"(8) Payments to Contingency Reserve Fund During " &amp;year</f>
        <v>(8) Payments to Contingency Reserve Fund During 2021</v>
      </c>
      <c r="D43" s="214"/>
      <c r="E43" s="214"/>
      <c r="F43" s="214"/>
      <c r="G43" s="214"/>
      <c r="H43" s="214"/>
      <c r="I43" s="216">
        <f>G13*(0.04-OPMadmin)</f>
        <v>0</v>
      </c>
      <c r="J43" s="214"/>
      <c r="K43" s="214"/>
      <c r="L43" s="214"/>
    </row>
    <row r="44" spans="1:15" s="217" customFormat="1" ht="14.5" x14ac:dyDescent="0.35">
      <c r="A44" s="214"/>
      <c r="B44" s="214"/>
      <c r="C44" s="215" t="str">
        <f>"(9) Interest on Contingency Reserve Fund During " &amp;year</f>
        <v>(9) Interest on Contingency Reserve Fund During 2021</v>
      </c>
      <c r="D44" s="214"/>
      <c r="E44" s="214"/>
      <c r="F44" s="214"/>
      <c r="G44" s="214"/>
      <c r="H44" s="214"/>
      <c r="I44" s="216">
        <f>Yr2CR*(I42+0.5*I43)</f>
        <v>0</v>
      </c>
      <c r="J44" s="214"/>
      <c r="K44" s="214"/>
      <c r="L44" s="214"/>
      <c r="O44" s="165"/>
    </row>
    <row r="45" spans="1:15" ht="14.5" x14ac:dyDescent="0.35">
      <c r="A45" s="167"/>
      <c r="B45" s="167"/>
      <c r="C45" s="167" t="str">
        <f>"(10) Contingency Reserve Balance 12/31/" &amp;year</f>
        <v>(10) Contingency Reserve Balance 12/31/2021</v>
      </c>
      <c r="D45" s="167"/>
      <c r="E45" s="167"/>
      <c r="F45" s="167"/>
      <c r="G45" s="167"/>
      <c r="H45" s="167"/>
      <c r="I45" s="180">
        <f>I42+I43+I44</f>
        <v>0</v>
      </c>
      <c r="J45" s="167"/>
      <c r="K45" s="167"/>
      <c r="L45" s="167"/>
    </row>
    <row r="46" spans="1:15" ht="14.5" x14ac:dyDescent="0.35">
      <c r="A46" s="167"/>
      <c r="B46" s="167"/>
      <c r="C46" s="167"/>
      <c r="D46" s="167"/>
      <c r="E46" s="167"/>
      <c r="F46" s="167"/>
      <c r="G46" s="167"/>
      <c r="H46" s="167"/>
      <c r="I46" s="181"/>
      <c r="J46" s="167"/>
      <c r="K46" s="167"/>
      <c r="L46" s="167"/>
    </row>
    <row r="47" spans="1:15" ht="14.5" x14ac:dyDescent="0.35">
      <c r="A47" s="168"/>
      <c r="B47" s="167" t="s">
        <v>10</v>
      </c>
      <c r="C47" s="167"/>
      <c r="D47" s="167"/>
      <c r="E47" s="167"/>
      <c r="F47" s="167"/>
      <c r="G47" s="167"/>
      <c r="H47" s="167"/>
      <c r="I47" s="181"/>
      <c r="J47" s="167"/>
      <c r="K47" s="167"/>
      <c r="L47" s="167"/>
    </row>
    <row r="48" spans="1:15" ht="14.5" x14ac:dyDescent="0.35">
      <c r="A48" s="167"/>
      <c r="B48" s="167"/>
      <c r="C48" s="167" t="str">
        <f>"(4) " &amp;year&amp; " Premium Income"</f>
        <v>(4) 2021 Premium Income</v>
      </c>
      <c r="D48" s="167"/>
      <c r="E48" s="167"/>
      <c r="F48" s="167"/>
      <c r="G48" s="167"/>
      <c r="H48" s="167"/>
      <c r="I48" s="180">
        <f>G13</f>
        <v>0</v>
      </c>
      <c r="J48" s="167"/>
      <c r="K48" s="167"/>
      <c r="L48" s="167"/>
    </row>
    <row r="49" spans="1:12" ht="14.5" x14ac:dyDescent="0.35">
      <c r="A49" s="167"/>
      <c r="B49" s="167"/>
      <c r="C49" s="167" t="str">
        <f>"(5) " &amp;year&amp; " Estimated Paid Claims"</f>
        <v>(5) 2021 Estimated Paid Claims</v>
      </c>
      <c r="D49" s="167"/>
      <c r="E49" s="167"/>
      <c r="F49" s="167"/>
      <c r="G49" s="167"/>
      <c r="H49" s="167"/>
      <c r="I49" s="182">
        <f>I29*I30</f>
        <v>0</v>
      </c>
      <c r="J49" s="167"/>
      <c r="K49" s="167"/>
      <c r="L49" s="167"/>
    </row>
    <row r="50" spans="1:12" ht="14.5" x14ac:dyDescent="0.35">
      <c r="A50" s="167"/>
      <c r="B50" s="167"/>
      <c r="C50" s="167" t="str">
        <f>"(6) " &amp;year&amp; " Expenses"</f>
        <v>(6) 2021 Expenses</v>
      </c>
      <c r="D50" s="167"/>
      <c r="E50" s="167"/>
      <c r="F50" s="167"/>
      <c r="G50" s="167"/>
      <c r="H50" s="167"/>
      <c r="I50" s="180">
        <f>C34</f>
        <v>0</v>
      </c>
      <c r="J50" s="167"/>
      <c r="K50" s="167"/>
      <c r="L50" s="167"/>
    </row>
    <row r="51" spans="1:12" ht="14.5" x14ac:dyDescent="0.35">
      <c r="A51" s="167"/>
      <c r="B51" s="167"/>
      <c r="C51" s="167" t="str">
        <f>"(7) " &amp;year&amp; " Average Investment Balance"</f>
        <v>(7) 2021 Average Investment Balance</v>
      </c>
      <c r="D51" s="167"/>
      <c r="E51" s="167"/>
      <c r="F51" s="167"/>
      <c r="G51" s="167"/>
      <c r="H51" s="167"/>
      <c r="I51" s="182">
        <f>(0.5*(I48-I49-I50))</f>
        <v>0</v>
      </c>
      <c r="J51" s="167"/>
      <c r="K51" s="167"/>
      <c r="L51" s="167"/>
    </row>
    <row r="52" spans="1:12" ht="14.5" x14ac:dyDescent="0.35">
      <c r="A52" s="167"/>
      <c r="B52" s="167"/>
      <c r="C52" s="167" t="str">
        <f>"(8) " &amp;year&amp; " Interest Plus Investment Income"</f>
        <v>(8) 2021 Interest Plus Investment Income</v>
      </c>
      <c r="D52" s="167"/>
      <c r="E52" s="167"/>
      <c r="F52" s="167"/>
      <c r="G52" s="167"/>
      <c r="H52" s="167"/>
      <c r="I52" s="180">
        <f>Yr2LOC*I51</f>
        <v>0</v>
      </c>
      <c r="J52" s="167"/>
      <c r="K52" s="167"/>
      <c r="L52" s="167"/>
    </row>
    <row r="53" spans="1:12" ht="14.5" x14ac:dyDescent="0.35">
      <c r="A53" s="167"/>
      <c r="B53" s="167"/>
      <c r="C53" s="167"/>
      <c r="D53" s="167"/>
      <c r="E53" s="167"/>
      <c r="F53" s="167"/>
      <c r="G53" s="167"/>
      <c r="H53" s="167"/>
      <c r="I53" s="181"/>
      <c r="J53" s="167"/>
      <c r="K53" s="167"/>
      <c r="L53" s="167"/>
    </row>
    <row r="54" spans="1:12" ht="14.5" x14ac:dyDescent="0.35">
      <c r="A54" s="168"/>
      <c r="B54" s="167" t="str">
        <f>"( c ) Financial Summary and Special Reserve - " &amp; year</f>
        <v>( c ) Financial Summary and Special Reserve - 2021</v>
      </c>
      <c r="C54" s="167"/>
      <c r="D54" s="167"/>
      <c r="E54" s="167"/>
      <c r="F54" s="167"/>
      <c r="G54" s="167"/>
      <c r="H54" s="167"/>
      <c r="I54" s="181"/>
      <c r="J54" s="167"/>
      <c r="K54" s="167"/>
      <c r="L54" s="167"/>
    </row>
    <row r="55" spans="1:12" ht="14.5" x14ac:dyDescent="0.35">
      <c r="A55" s="167"/>
      <c r="B55" s="167"/>
      <c r="C55" s="167" t="s">
        <v>11</v>
      </c>
      <c r="D55" s="167"/>
      <c r="E55" s="167"/>
      <c r="F55" s="167"/>
      <c r="G55" s="167"/>
      <c r="H55" s="167"/>
      <c r="I55" s="181"/>
      <c r="J55" s="167"/>
      <c r="K55" s="167"/>
      <c r="L55" s="167"/>
    </row>
    <row r="56" spans="1:12" ht="14.5" x14ac:dyDescent="0.35">
      <c r="A56" s="167"/>
      <c r="B56" s="167"/>
      <c r="C56" s="168" t="s">
        <v>253</v>
      </c>
      <c r="D56" s="167"/>
      <c r="E56" s="167"/>
      <c r="F56" s="167"/>
      <c r="G56" s="167"/>
      <c r="H56" s="167"/>
      <c r="I56" s="180">
        <f>G13</f>
        <v>0</v>
      </c>
      <c r="J56" s="167"/>
      <c r="K56" s="167"/>
      <c r="L56" s="167"/>
    </row>
    <row r="57" spans="1:12" ht="14.5" x14ac:dyDescent="0.35">
      <c r="A57" s="167"/>
      <c r="B57" s="167"/>
      <c r="C57" s="168" t="s">
        <v>254</v>
      </c>
      <c r="D57" s="167"/>
      <c r="E57" s="167"/>
      <c r="F57" s="167"/>
      <c r="G57" s="167"/>
      <c r="H57" s="167"/>
      <c r="I57" s="182">
        <f>I52</f>
        <v>0</v>
      </c>
      <c r="J57" s="167"/>
      <c r="K57" s="167"/>
      <c r="L57" s="167"/>
    </row>
    <row r="58" spans="1:12" ht="14.5" x14ac:dyDescent="0.35">
      <c r="A58" s="167"/>
      <c r="B58" s="167"/>
      <c r="C58" s="168" t="s">
        <v>255</v>
      </c>
      <c r="D58" s="167"/>
      <c r="E58" s="167"/>
      <c r="F58" s="167"/>
      <c r="G58" s="167"/>
      <c r="H58" s="167"/>
      <c r="I58" s="182">
        <f>I56+I57</f>
        <v>0</v>
      </c>
      <c r="J58" s="167"/>
      <c r="K58" s="167"/>
      <c r="L58" s="167"/>
    </row>
    <row r="59" spans="1:12" ht="14.5" x14ac:dyDescent="0.35">
      <c r="A59" s="167"/>
      <c r="B59" s="167"/>
      <c r="C59" s="167" t="s">
        <v>12</v>
      </c>
      <c r="D59" s="167"/>
      <c r="E59" s="167"/>
      <c r="F59" s="167"/>
      <c r="G59" s="167"/>
      <c r="H59" s="167"/>
      <c r="I59" s="181"/>
      <c r="J59" s="167"/>
      <c r="K59" s="167"/>
      <c r="L59" s="167"/>
    </row>
    <row r="60" spans="1:12" ht="14.5" x14ac:dyDescent="0.35">
      <c r="A60" s="167"/>
      <c r="B60" s="167"/>
      <c r="C60" s="168" t="s">
        <v>256</v>
      </c>
      <c r="D60" s="167"/>
      <c r="E60" s="167"/>
      <c r="F60" s="167"/>
      <c r="G60" s="167"/>
      <c r="H60" s="167"/>
      <c r="I60" s="180">
        <f>I29</f>
        <v>0</v>
      </c>
      <c r="J60" s="167"/>
      <c r="K60" s="167"/>
      <c r="L60" s="167"/>
    </row>
    <row r="61" spans="1:12" ht="14.5" x14ac:dyDescent="0.35">
      <c r="A61" s="167"/>
      <c r="B61" s="167"/>
      <c r="C61" s="168" t="s">
        <v>257</v>
      </c>
      <c r="D61" s="167"/>
      <c r="E61" s="167"/>
      <c r="F61" s="167"/>
      <c r="G61" s="167"/>
      <c r="H61" s="167"/>
      <c r="I61" s="182">
        <f>C34</f>
        <v>0</v>
      </c>
      <c r="J61" s="167"/>
      <c r="K61" s="167"/>
      <c r="L61" s="167"/>
    </row>
    <row r="62" spans="1:12" ht="14.5" x14ac:dyDescent="0.35">
      <c r="A62" s="167"/>
      <c r="B62" s="167"/>
      <c r="C62" s="168" t="s">
        <v>258</v>
      </c>
      <c r="D62" s="167"/>
      <c r="E62" s="167"/>
      <c r="F62" s="167"/>
      <c r="G62" s="167"/>
      <c r="H62" s="167"/>
      <c r="I62" s="182">
        <f>I60+I61</f>
        <v>0</v>
      </c>
      <c r="J62" s="167"/>
      <c r="K62" s="167"/>
      <c r="L62" s="167"/>
    </row>
    <row r="63" spans="1:12" ht="14.5" x14ac:dyDescent="0.35">
      <c r="A63" s="167"/>
      <c r="B63" s="167"/>
      <c r="C63" s="168" t="s">
        <v>161</v>
      </c>
      <c r="D63" s="167"/>
      <c r="E63" s="167"/>
      <c r="F63" s="167"/>
      <c r="G63" s="167"/>
      <c r="H63" s="167"/>
      <c r="I63" s="182">
        <f>I58-I62</f>
        <v>0</v>
      </c>
      <c r="J63" s="167"/>
      <c r="K63" s="167"/>
      <c r="L63" s="167"/>
    </row>
    <row r="64" spans="1:12" ht="14.5" x14ac:dyDescent="0.35">
      <c r="A64" s="167"/>
      <c r="B64" s="167"/>
      <c r="C64" s="167" t="s">
        <v>13</v>
      </c>
      <c r="D64" s="167"/>
      <c r="E64" s="167"/>
      <c r="F64" s="167"/>
      <c r="G64" s="167"/>
      <c r="H64" s="167"/>
      <c r="I64" s="183"/>
      <c r="J64" s="167"/>
      <c r="K64" s="167"/>
      <c r="L64" s="167"/>
    </row>
    <row r="65" spans="1:12" ht="14.5" x14ac:dyDescent="0.35">
      <c r="A65" s="167"/>
      <c r="B65" s="167"/>
      <c r="C65" s="168" t="s">
        <v>259</v>
      </c>
      <c r="D65" s="167"/>
      <c r="E65" s="167"/>
      <c r="F65" s="167"/>
      <c r="G65" s="167"/>
      <c r="H65" s="167"/>
      <c r="I65" s="180">
        <f>I63</f>
        <v>0</v>
      </c>
      <c r="J65" s="167"/>
      <c r="K65" s="167"/>
      <c r="L65" s="167"/>
    </row>
    <row r="66" spans="1:12" ht="14.5" x14ac:dyDescent="0.35">
      <c r="A66" s="167"/>
      <c r="B66" s="167"/>
      <c r="C66" s="168" t="s">
        <v>260</v>
      </c>
      <c r="D66" s="167"/>
      <c r="E66" s="167"/>
      <c r="F66" s="167"/>
      <c r="G66" s="167"/>
      <c r="H66" s="167"/>
      <c r="I66" s="182">
        <f>I45</f>
        <v>0</v>
      </c>
      <c r="J66" s="167"/>
      <c r="K66" s="167"/>
      <c r="L66" s="167"/>
    </row>
    <row r="67" spans="1:12" ht="14.5" x14ac:dyDescent="0.35">
      <c r="A67" s="167"/>
      <c r="B67" s="167"/>
      <c r="C67" s="167" t="s">
        <v>367</v>
      </c>
      <c r="D67" s="167"/>
      <c r="E67" s="167"/>
      <c r="F67" s="167"/>
      <c r="G67" s="167"/>
      <c r="H67" s="167"/>
      <c r="I67" s="405" t="e">
        <f>(12*(I65+I66))/I62</f>
        <v>#DIV/0!</v>
      </c>
      <c r="J67" s="167"/>
      <c r="K67" s="167"/>
      <c r="L67" s="167"/>
    </row>
    <row r="68" spans="1:12" ht="14.5" x14ac:dyDescent="0.35">
      <c r="A68" s="167"/>
      <c r="B68" s="167"/>
      <c r="C68" s="167"/>
      <c r="D68" s="167"/>
      <c r="E68" s="167"/>
      <c r="F68" s="167"/>
      <c r="G68" s="167"/>
      <c r="H68" s="167"/>
      <c r="I68" s="167"/>
      <c r="J68" s="167"/>
      <c r="K68" s="167"/>
      <c r="L68" s="167"/>
    </row>
    <row r="69" spans="1:12" ht="14.5" x14ac:dyDescent="0.35">
      <c r="A69" s="167"/>
      <c r="B69" s="167"/>
      <c r="C69" s="167"/>
      <c r="D69" s="167"/>
      <c r="E69" s="167"/>
      <c r="F69" s="167"/>
      <c r="G69" s="167"/>
      <c r="H69" s="167"/>
      <c r="I69" s="167"/>
      <c r="J69" s="167"/>
      <c r="K69" s="167"/>
      <c r="L69" s="167"/>
    </row>
    <row r="70" spans="1:12" ht="14.5" x14ac:dyDescent="0.35">
      <c r="A70" s="167"/>
      <c r="B70" s="167"/>
      <c r="C70" s="167"/>
      <c r="D70" s="167"/>
      <c r="E70" s="167"/>
      <c r="F70" s="167"/>
      <c r="G70" s="167"/>
      <c r="H70" s="167"/>
      <c r="I70" s="167"/>
      <c r="J70" s="167"/>
      <c r="K70" s="167"/>
      <c r="L70" s="167"/>
    </row>
    <row r="71" spans="1:12" ht="14.5" x14ac:dyDescent="0.35">
      <c r="A71" s="167"/>
      <c r="B71" s="167"/>
      <c r="C71" s="167"/>
      <c r="D71" s="167"/>
      <c r="E71" s="167"/>
      <c r="F71" s="167"/>
      <c r="G71" s="167"/>
      <c r="H71" s="167"/>
      <c r="I71" s="167"/>
      <c r="J71" s="167"/>
      <c r="K71" s="167"/>
      <c r="L71" s="167"/>
    </row>
    <row r="72" spans="1:12" ht="14.5" x14ac:dyDescent="0.35">
      <c r="A72" s="167"/>
      <c r="B72" s="167"/>
      <c r="C72" s="167"/>
      <c r="D72" s="167"/>
      <c r="E72" s="167"/>
      <c r="F72" s="167"/>
      <c r="G72" s="167"/>
      <c r="H72" s="167"/>
      <c r="I72" s="167"/>
      <c r="J72" s="167"/>
      <c r="K72" s="167"/>
      <c r="L72" s="167"/>
    </row>
    <row r="73" spans="1:12" ht="14.5" x14ac:dyDescent="0.35">
      <c r="A73" s="167"/>
      <c r="B73" s="167"/>
      <c r="C73" s="167"/>
      <c r="D73" s="167"/>
      <c r="E73" s="167"/>
      <c r="F73" s="167"/>
      <c r="G73" s="167"/>
      <c r="H73" s="167"/>
      <c r="I73" s="167"/>
      <c r="J73" s="167"/>
      <c r="K73" s="167"/>
      <c r="L73" s="167"/>
    </row>
    <row r="74" spans="1:12" ht="14.5" x14ac:dyDescent="0.35">
      <c r="A74" s="167"/>
      <c r="B74" s="167"/>
      <c r="C74" s="167"/>
      <c r="D74" s="167"/>
      <c r="E74" s="167"/>
      <c r="F74" s="167"/>
      <c r="G74" s="167"/>
      <c r="H74" s="167"/>
      <c r="I74" s="167"/>
      <c r="J74" s="167"/>
      <c r="K74" s="167"/>
      <c r="L74" s="167"/>
    </row>
    <row r="75" spans="1:12" ht="14.5" x14ac:dyDescent="0.35">
      <c r="A75" s="167"/>
      <c r="B75" s="167"/>
      <c r="C75" s="167"/>
      <c r="D75" s="167"/>
      <c r="E75" s="167"/>
      <c r="F75" s="167"/>
      <c r="G75" s="167"/>
      <c r="H75" s="167"/>
      <c r="I75" s="167"/>
      <c r="J75" s="167"/>
      <c r="K75" s="167"/>
      <c r="L75" s="167"/>
    </row>
    <row r="76" spans="1:12" ht="14.5" x14ac:dyDescent="0.35">
      <c r="A76" s="167"/>
      <c r="B76" s="167"/>
      <c r="C76" s="167"/>
      <c r="D76" s="167"/>
      <c r="E76" s="167"/>
      <c r="F76" s="167"/>
      <c r="G76" s="167"/>
      <c r="H76" s="167"/>
      <c r="I76" s="167"/>
      <c r="J76" s="167"/>
      <c r="K76" s="167"/>
      <c r="L76" s="167"/>
    </row>
    <row r="77" spans="1:12" ht="14.5" x14ac:dyDescent="0.35">
      <c r="A77" s="167"/>
      <c r="B77" s="167"/>
      <c r="C77" s="167"/>
      <c r="D77" s="167"/>
      <c r="E77" s="167"/>
      <c r="F77" s="167"/>
      <c r="G77" s="167"/>
      <c r="H77" s="167"/>
      <c r="I77" s="167"/>
      <c r="J77" s="167"/>
      <c r="K77" s="167"/>
      <c r="L77" s="167"/>
    </row>
    <row r="78" spans="1:12" ht="14.5" x14ac:dyDescent="0.35">
      <c r="A78" s="167"/>
      <c r="B78" s="167"/>
      <c r="C78" s="167"/>
      <c r="D78" s="167"/>
      <c r="E78" s="167"/>
      <c r="F78" s="167"/>
      <c r="G78" s="167"/>
      <c r="H78" s="167"/>
      <c r="I78" s="167"/>
      <c r="J78" s="167"/>
      <c r="K78" s="167"/>
      <c r="L78" s="167"/>
    </row>
    <row r="79" spans="1:12" ht="14.5" x14ac:dyDescent="0.35">
      <c r="A79" s="167"/>
      <c r="B79" s="167"/>
      <c r="C79" s="167"/>
      <c r="D79" s="167"/>
      <c r="E79" s="167"/>
      <c r="F79" s="167"/>
      <c r="G79" s="167"/>
      <c r="H79" s="167"/>
      <c r="I79" s="167"/>
      <c r="J79" s="167"/>
      <c r="K79" s="167"/>
      <c r="L79" s="167"/>
    </row>
    <row r="80" spans="1:12" ht="14.5" x14ac:dyDescent="0.35">
      <c r="A80" s="167"/>
      <c r="B80" s="167"/>
      <c r="C80" s="167"/>
      <c r="D80" s="167"/>
      <c r="E80" s="167"/>
      <c r="F80" s="167"/>
      <c r="G80" s="167"/>
      <c r="H80" s="167"/>
      <c r="I80" s="167"/>
      <c r="J80" s="167"/>
      <c r="K80" s="167"/>
      <c r="L80" s="167"/>
    </row>
    <row r="81" spans="1:12" ht="14.5" x14ac:dyDescent="0.35">
      <c r="A81" s="167"/>
      <c r="B81" s="167"/>
      <c r="C81" s="167"/>
      <c r="D81" s="167"/>
      <c r="E81" s="167"/>
      <c r="F81" s="167"/>
      <c r="G81" s="167"/>
      <c r="H81" s="167"/>
      <c r="I81" s="167"/>
      <c r="J81" s="167"/>
      <c r="K81" s="167"/>
      <c r="L81" s="167"/>
    </row>
    <row r="82" spans="1:12" ht="14.5" x14ac:dyDescent="0.35">
      <c r="A82" s="167"/>
      <c r="B82" s="167"/>
      <c r="C82" s="167"/>
      <c r="D82" s="167"/>
      <c r="E82" s="167"/>
      <c r="F82" s="167"/>
      <c r="G82" s="167"/>
      <c r="H82" s="167"/>
      <c r="I82" s="167"/>
      <c r="J82" s="167"/>
      <c r="K82" s="167"/>
      <c r="L82" s="167"/>
    </row>
    <row r="83" spans="1:12" ht="14.5" x14ac:dyDescent="0.35">
      <c r="A83" s="167"/>
      <c r="B83" s="167"/>
      <c r="C83" s="167"/>
      <c r="D83" s="167"/>
      <c r="E83" s="167"/>
      <c r="F83" s="167"/>
      <c r="G83" s="167"/>
      <c r="H83" s="167"/>
      <c r="I83" s="167"/>
      <c r="J83" s="167"/>
      <c r="K83" s="167"/>
      <c r="L83" s="167"/>
    </row>
    <row r="84" spans="1:12" ht="14.5" x14ac:dyDescent="0.35">
      <c r="A84" s="167"/>
      <c r="B84" s="167"/>
      <c r="C84" s="167"/>
      <c r="D84" s="167"/>
      <c r="E84" s="167"/>
      <c r="F84" s="167"/>
      <c r="G84" s="167"/>
      <c r="H84" s="167"/>
      <c r="I84" s="167"/>
      <c r="J84" s="167"/>
      <c r="K84" s="167"/>
      <c r="L84" s="167"/>
    </row>
    <row r="85" spans="1:12" ht="14.5" x14ac:dyDescent="0.35">
      <c r="A85" s="167"/>
      <c r="B85" s="167"/>
      <c r="C85" s="167"/>
      <c r="D85" s="167"/>
      <c r="E85" s="167"/>
      <c r="F85" s="167"/>
      <c r="G85" s="167"/>
      <c r="H85" s="167"/>
      <c r="I85" s="167"/>
      <c r="J85" s="167"/>
      <c r="K85" s="167"/>
      <c r="L85" s="167"/>
    </row>
    <row r="86" spans="1:12" ht="14.5" x14ac:dyDescent="0.35">
      <c r="A86" s="167"/>
      <c r="B86" s="167"/>
      <c r="C86" s="167"/>
      <c r="D86" s="167"/>
      <c r="E86" s="167"/>
      <c r="F86" s="167"/>
      <c r="G86" s="167"/>
      <c r="H86" s="167"/>
      <c r="I86" s="167"/>
      <c r="J86" s="167"/>
      <c r="K86" s="167"/>
      <c r="L86" s="167"/>
    </row>
    <row r="87" spans="1:12" ht="14.5" x14ac:dyDescent="0.35">
      <c r="A87" s="167"/>
      <c r="B87" s="167"/>
      <c r="C87" s="167"/>
      <c r="D87" s="167"/>
      <c r="E87" s="167"/>
      <c r="F87" s="167"/>
      <c r="G87" s="167"/>
      <c r="H87" s="167"/>
      <c r="I87" s="167"/>
      <c r="J87" s="167"/>
      <c r="K87" s="167"/>
      <c r="L87" s="167"/>
    </row>
    <row r="88" spans="1:12" ht="14.5" x14ac:dyDescent="0.35">
      <c r="A88" s="167"/>
      <c r="B88" s="167"/>
      <c r="C88" s="167"/>
      <c r="D88" s="167"/>
      <c r="E88" s="167"/>
      <c r="F88" s="167"/>
      <c r="G88" s="167"/>
      <c r="H88" s="167"/>
      <c r="I88" s="167"/>
      <c r="J88" s="167"/>
      <c r="K88" s="167"/>
      <c r="L88" s="167"/>
    </row>
    <row r="89" spans="1:12" ht="14.5" x14ac:dyDescent="0.35">
      <c r="A89" s="167"/>
      <c r="B89" s="167"/>
      <c r="C89" s="167"/>
      <c r="D89" s="167"/>
      <c r="E89" s="167"/>
      <c r="F89" s="167"/>
      <c r="G89" s="167"/>
      <c r="H89" s="167"/>
      <c r="I89" s="167"/>
      <c r="J89" s="167"/>
      <c r="K89" s="167"/>
      <c r="L89" s="167"/>
    </row>
    <row r="90" spans="1:12" ht="14.5" x14ac:dyDescent="0.35">
      <c r="A90" s="167"/>
      <c r="B90" s="167"/>
      <c r="C90" s="167"/>
      <c r="D90" s="167"/>
      <c r="E90" s="167"/>
      <c r="F90" s="167"/>
      <c r="G90" s="167"/>
      <c r="H90" s="167"/>
      <c r="I90" s="167"/>
      <c r="J90" s="167"/>
      <c r="K90" s="167"/>
      <c r="L90" s="167"/>
    </row>
    <row r="91" spans="1:12" ht="14.5" x14ac:dyDescent="0.35">
      <c r="A91" s="167"/>
      <c r="B91" s="167"/>
      <c r="C91" s="167"/>
      <c r="D91" s="167"/>
      <c r="E91" s="167"/>
      <c r="F91" s="167"/>
      <c r="G91" s="167"/>
      <c r="H91" s="167"/>
      <c r="I91" s="167"/>
      <c r="J91" s="167"/>
      <c r="K91" s="167"/>
      <c r="L91" s="167"/>
    </row>
    <row r="92" spans="1:12" ht="14.5" x14ac:dyDescent="0.35">
      <c r="A92" s="167"/>
      <c r="B92" s="167"/>
      <c r="C92" s="167"/>
      <c r="D92" s="167"/>
      <c r="E92" s="167"/>
      <c r="F92" s="167"/>
      <c r="G92" s="167"/>
      <c r="H92" s="167"/>
      <c r="I92" s="167"/>
      <c r="J92" s="167"/>
      <c r="K92" s="167"/>
      <c r="L92" s="167"/>
    </row>
    <row r="93" spans="1:12" ht="14.5" x14ac:dyDescent="0.35">
      <c r="A93" s="167"/>
      <c r="B93" s="167"/>
      <c r="C93" s="167"/>
      <c r="D93" s="167"/>
      <c r="E93" s="167"/>
      <c r="F93" s="167"/>
      <c r="G93" s="167"/>
      <c r="H93" s="167"/>
      <c r="I93" s="167"/>
      <c r="J93" s="167"/>
      <c r="K93" s="167"/>
      <c r="L93" s="167"/>
    </row>
    <row r="94" spans="1:12" ht="14.5" x14ac:dyDescent="0.35">
      <c r="A94" s="167"/>
      <c r="B94" s="167"/>
      <c r="C94" s="167"/>
      <c r="D94" s="167"/>
      <c r="E94" s="167"/>
      <c r="F94" s="167"/>
      <c r="G94" s="167"/>
      <c r="H94" s="167"/>
      <c r="I94" s="167"/>
      <c r="J94" s="167"/>
      <c r="K94" s="167"/>
      <c r="L94" s="167"/>
    </row>
    <row r="95" spans="1:12" ht="14.5" x14ac:dyDescent="0.35">
      <c r="A95" s="167"/>
      <c r="B95" s="167"/>
      <c r="C95" s="167"/>
      <c r="D95" s="167"/>
      <c r="E95" s="167"/>
      <c r="F95" s="167"/>
      <c r="G95" s="167"/>
      <c r="H95" s="167"/>
      <c r="I95" s="167"/>
      <c r="J95" s="167"/>
      <c r="K95" s="167"/>
      <c r="L95" s="167"/>
    </row>
    <row r="96" spans="1:12" ht="14.5" x14ac:dyDescent="0.35">
      <c r="A96" s="167"/>
      <c r="B96" s="167"/>
      <c r="C96" s="167"/>
      <c r="D96" s="167"/>
      <c r="E96" s="167"/>
      <c r="F96" s="167"/>
      <c r="G96" s="167"/>
      <c r="H96" s="167"/>
      <c r="I96" s="167"/>
      <c r="J96" s="167"/>
      <c r="K96" s="167"/>
      <c r="L96" s="167"/>
    </row>
    <row r="97" spans="1:12" ht="14.5" x14ac:dyDescent="0.35">
      <c r="A97" s="167"/>
      <c r="B97" s="167"/>
      <c r="C97" s="167"/>
      <c r="D97" s="167"/>
      <c r="E97" s="167"/>
      <c r="F97" s="167"/>
      <c r="G97" s="167"/>
      <c r="H97" s="167"/>
      <c r="I97" s="167"/>
      <c r="J97" s="167"/>
      <c r="K97" s="167"/>
      <c r="L97" s="167"/>
    </row>
    <row r="98" spans="1:12" ht="14.5" x14ac:dyDescent="0.35">
      <c r="A98" s="167"/>
      <c r="B98" s="167"/>
      <c r="C98" s="167"/>
      <c r="D98" s="167"/>
      <c r="E98" s="167"/>
      <c r="F98" s="167"/>
      <c r="G98" s="167"/>
      <c r="H98" s="167"/>
      <c r="I98" s="167"/>
      <c r="J98" s="167"/>
      <c r="K98" s="167"/>
      <c r="L98" s="167"/>
    </row>
    <row r="99" spans="1:12" ht="14.5" x14ac:dyDescent="0.35">
      <c r="A99" s="167"/>
      <c r="B99" s="167"/>
      <c r="C99" s="167"/>
      <c r="D99" s="167"/>
      <c r="E99" s="167"/>
      <c r="F99" s="167"/>
      <c r="G99" s="167"/>
      <c r="H99" s="167"/>
      <c r="I99" s="167"/>
      <c r="J99" s="167"/>
      <c r="K99" s="167"/>
      <c r="L99" s="167"/>
    </row>
    <row r="100" spans="1:12" ht="14.5" x14ac:dyDescent="0.35">
      <c r="A100" s="167"/>
      <c r="B100" s="167"/>
      <c r="C100" s="167"/>
      <c r="D100" s="167"/>
      <c r="E100" s="167"/>
      <c r="F100" s="167"/>
      <c r="G100" s="167"/>
      <c r="H100" s="167"/>
      <c r="I100" s="167"/>
      <c r="J100" s="167"/>
      <c r="K100" s="167"/>
      <c r="L100" s="167"/>
    </row>
    <row r="101" spans="1:12" ht="14.5" x14ac:dyDescent="0.35">
      <c r="A101" s="167"/>
      <c r="B101" s="167"/>
      <c r="C101" s="167"/>
      <c r="D101" s="167"/>
      <c r="E101" s="167"/>
      <c r="F101" s="167"/>
      <c r="G101" s="167"/>
      <c r="H101" s="167"/>
      <c r="I101" s="167"/>
      <c r="J101" s="167"/>
      <c r="K101" s="167"/>
      <c r="L101" s="167"/>
    </row>
    <row r="102" spans="1:12" ht="14.5" x14ac:dyDescent="0.35">
      <c r="A102" s="167"/>
      <c r="B102" s="167"/>
      <c r="C102" s="167"/>
      <c r="D102" s="167"/>
      <c r="E102" s="167"/>
      <c r="F102" s="167"/>
      <c r="G102" s="167"/>
      <c r="H102" s="167"/>
      <c r="I102" s="167"/>
      <c r="J102" s="167"/>
      <c r="K102" s="167"/>
      <c r="L102" s="167"/>
    </row>
    <row r="103" spans="1:12" ht="14.5" x14ac:dyDescent="0.35">
      <c r="A103" s="167"/>
      <c r="B103" s="167"/>
      <c r="C103" s="167"/>
      <c r="D103" s="167"/>
      <c r="E103" s="167"/>
      <c r="F103" s="167"/>
      <c r="G103" s="167"/>
      <c r="H103" s="167"/>
      <c r="I103" s="167"/>
      <c r="J103" s="167"/>
      <c r="K103" s="167"/>
      <c r="L103" s="167"/>
    </row>
    <row r="104" spans="1:12" ht="14.5" x14ac:dyDescent="0.35">
      <c r="A104" s="167"/>
      <c r="B104" s="167"/>
      <c r="C104" s="167"/>
      <c r="D104" s="167"/>
      <c r="E104" s="167"/>
      <c r="F104" s="167"/>
      <c r="G104" s="167"/>
      <c r="H104" s="167"/>
      <c r="I104" s="167"/>
      <c r="J104" s="167"/>
      <c r="K104" s="167"/>
      <c r="L104" s="167"/>
    </row>
    <row r="105" spans="1:12" ht="14.5" x14ac:dyDescent="0.35">
      <c r="A105" s="167"/>
      <c r="B105" s="167"/>
      <c r="C105" s="167"/>
      <c r="D105" s="167"/>
      <c r="E105" s="167"/>
      <c r="F105" s="167"/>
      <c r="G105" s="167"/>
      <c r="H105" s="167"/>
      <c r="I105" s="167"/>
      <c r="J105" s="167"/>
      <c r="K105" s="167"/>
      <c r="L105" s="167"/>
    </row>
    <row r="106" spans="1:12" ht="14.5" x14ac:dyDescent="0.35">
      <c r="A106" s="167"/>
      <c r="B106" s="167"/>
      <c r="C106" s="167"/>
      <c r="D106" s="167"/>
      <c r="E106" s="167"/>
      <c r="F106" s="167"/>
      <c r="G106" s="167"/>
      <c r="H106" s="167"/>
      <c r="I106" s="167"/>
      <c r="J106" s="167"/>
      <c r="K106" s="167"/>
      <c r="L106" s="167"/>
    </row>
    <row r="107" spans="1:12" ht="14.5" x14ac:dyDescent="0.35">
      <c r="A107" s="167"/>
      <c r="B107" s="167"/>
      <c r="C107" s="167"/>
      <c r="D107" s="167"/>
      <c r="E107" s="167"/>
      <c r="F107" s="167"/>
      <c r="G107" s="167"/>
      <c r="H107" s="167"/>
      <c r="I107" s="167"/>
      <c r="J107" s="167"/>
      <c r="K107" s="167"/>
      <c r="L107" s="167"/>
    </row>
    <row r="108" spans="1:12" ht="14.5" x14ac:dyDescent="0.35">
      <c r="A108" s="167"/>
      <c r="B108" s="167"/>
      <c r="C108" s="167"/>
      <c r="D108" s="167"/>
      <c r="E108" s="167"/>
      <c r="F108" s="167"/>
      <c r="G108" s="167"/>
      <c r="H108" s="167"/>
      <c r="I108" s="167"/>
      <c r="J108" s="167"/>
      <c r="K108" s="167"/>
      <c r="L108" s="167"/>
    </row>
    <row r="109" spans="1:12" ht="14.5" x14ac:dyDescent="0.35">
      <c r="A109" s="167"/>
      <c r="B109" s="167"/>
      <c r="C109" s="167"/>
      <c r="D109" s="167"/>
      <c r="E109" s="167"/>
      <c r="F109" s="167"/>
      <c r="G109" s="167"/>
      <c r="H109" s="167"/>
      <c r="I109" s="167"/>
      <c r="J109" s="167"/>
      <c r="K109" s="167"/>
      <c r="L109" s="167"/>
    </row>
    <row r="110" spans="1:12" ht="14.5" x14ac:dyDescent="0.35">
      <c r="A110" s="167"/>
      <c r="B110" s="167"/>
      <c r="C110" s="167"/>
      <c r="D110" s="167"/>
      <c r="E110" s="167"/>
      <c r="F110" s="167"/>
      <c r="G110" s="167"/>
      <c r="H110" s="167"/>
      <c r="I110" s="167"/>
      <c r="J110" s="167"/>
      <c r="K110" s="167"/>
      <c r="L110" s="167"/>
    </row>
    <row r="111" spans="1:12" ht="14.5" x14ac:dyDescent="0.35">
      <c r="A111" s="167"/>
      <c r="B111" s="167"/>
      <c r="C111" s="167"/>
      <c r="D111" s="167"/>
      <c r="E111" s="167"/>
      <c r="F111" s="167"/>
      <c r="G111" s="167"/>
      <c r="H111" s="167"/>
      <c r="I111" s="167"/>
      <c r="J111" s="167"/>
      <c r="K111" s="167"/>
      <c r="L111" s="167"/>
    </row>
    <row r="112" spans="1:12" ht="14.5" x14ac:dyDescent="0.35">
      <c r="A112" s="167"/>
      <c r="B112" s="167"/>
      <c r="C112" s="167"/>
      <c r="D112" s="167"/>
      <c r="E112" s="167"/>
      <c r="F112" s="167"/>
      <c r="G112" s="167"/>
      <c r="H112" s="167"/>
      <c r="I112" s="167"/>
      <c r="J112" s="167"/>
      <c r="K112" s="167"/>
      <c r="L112" s="167"/>
    </row>
    <row r="113" spans="1:12" ht="14.5" x14ac:dyDescent="0.35">
      <c r="A113" s="167"/>
      <c r="B113" s="167"/>
      <c r="C113" s="167"/>
      <c r="D113" s="167"/>
      <c r="E113" s="167"/>
      <c r="F113" s="167"/>
      <c r="G113" s="167"/>
      <c r="H113" s="167"/>
      <c r="I113" s="167"/>
      <c r="J113" s="167"/>
      <c r="K113" s="167"/>
      <c r="L113" s="167"/>
    </row>
    <row r="114" spans="1:12" ht="14.5" x14ac:dyDescent="0.35">
      <c r="A114" s="167"/>
      <c r="B114" s="167"/>
      <c r="C114" s="167"/>
      <c r="D114" s="167"/>
      <c r="E114" s="167"/>
      <c r="F114" s="167"/>
      <c r="G114" s="167"/>
      <c r="H114" s="167"/>
      <c r="I114" s="167"/>
      <c r="J114" s="167"/>
      <c r="K114" s="167"/>
      <c r="L114" s="167"/>
    </row>
    <row r="115" spans="1:12" ht="14.5" x14ac:dyDescent="0.35">
      <c r="A115" s="167"/>
      <c r="B115" s="167"/>
      <c r="C115" s="167"/>
      <c r="D115" s="167"/>
      <c r="E115" s="167"/>
      <c r="F115" s="167"/>
      <c r="G115" s="167"/>
      <c r="H115" s="167"/>
      <c r="I115" s="167"/>
      <c r="J115" s="167"/>
      <c r="K115" s="167"/>
      <c r="L115" s="167"/>
    </row>
    <row r="116" spans="1:12" ht="14.5" x14ac:dyDescent="0.35">
      <c r="A116" s="167"/>
      <c r="B116" s="167"/>
      <c r="C116" s="167"/>
      <c r="D116" s="167"/>
      <c r="E116" s="167"/>
      <c r="F116" s="167"/>
      <c r="G116" s="167"/>
      <c r="H116" s="167"/>
      <c r="I116" s="167"/>
      <c r="J116" s="167"/>
      <c r="K116" s="167"/>
      <c r="L116" s="167"/>
    </row>
    <row r="117" spans="1:12" ht="14.5" x14ac:dyDescent="0.35">
      <c r="A117" s="167"/>
      <c r="B117" s="167"/>
      <c r="C117" s="167"/>
      <c r="D117" s="167"/>
      <c r="E117" s="167"/>
      <c r="F117" s="167"/>
      <c r="G117" s="167"/>
      <c r="H117" s="167"/>
      <c r="I117" s="167"/>
      <c r="J117" s="167"/>
      <c r="K117" s="167"/>
      <c r="L117" s="167"/>
    </row>
    <row r="118" spans="1:12" ht="14.5" x14ac:dyDescent="0.35">
      <c r="A118" s="167"/>
      <c r="B118" s="167"/>
      <c r="C118" s="167"/>
      <c r="D118" s="167"/>
      <c r="E118" s="167"/>
      <c r="F118" s="167"/>
      <c r="G118" s="167"/>
      <c r="H118" s="167"/>
      <c r="I118" s="167"/>
      <c r="J118" s="167"/>
      <c r="K118" s="167"/>
      <c r="L118" s="167"/>
    </row>
    <row r="119" spans="1:12" ht="14.5" x14ac:dyDescent="0.35">
      <c r="A119" s="167"/>
      <c r="B119" s="167"/>
      <c r="C119" s="167"/>
      <c r="D119" s="167"/>
      <c r="E119" s="167"/>
      <c r="F119" s="167"/>
      <c r="G119" s="167"/>
      <c r="H119" s="167"/>
      <c r="I119" s="167"/>
      <c r="J119" s="167"/>
      <c r="K119" s="167"/>
      <c r="L119" s="167"/>
    </row>
    <row r="120" spans="1:12" ht="14.5" x14ac:dyDescent="0.35">
      <c r="A120" s="167"/>
      <c r="B120" s="167"/>
      <c r="C120" s="167"/>
      <c r="D120" s="167"/>
      <c r="E120" s="167"/>
      <c r="F120" s="167"/>
      <c r="G120" s="167"/>
      <c r="H120" s="167"/>
      <c r="I120" s="167"/>
      <c r="J120" s="167"/>
      <c r="K120" s="167"/>
      <c r="L120" s="167"/>
    </row>
    <row r="121" spans="1:12" ht="14.5" x14ac:dyDescent="0.35">
      <c r="A121" s="167"/>
      <c r="B121" s="167"/>
      <c r="C121" s="167"/>
      <c r="D121" s="167"/>
      <c r="E121" s="167"/>
      <c r="F121" s="167"/>
      <c r="G121" s="167"/>
      <c r="H121" s="167"/>
      <c r="I121" s="167"/>
      <c r="J121" s="167"/>
      <c r="K121" s="167"/>
      <c r="L121" s="167"/>
    </row>
    <row r="122" spans="1:12" ht="14.5" x14ac:dyDescent="0.35">
      <c r="A122" s="167"/>
      <c r="B122" s="167"/>
      <c r="C122" s="167"/>
      <c r="D122" s="167"/>
      <c r="E122" s="167"/>
      <c r="F122" s="167"/>
      <c r="G122" s="167"/>
      <c r="H122" s="167"/>
      <c r="I122" s="167"/>
      <c r="J122" s="167"/>
      <c r="K122" s="167"/>
      <c r="L122" s="167"/>
    </row>
    <row r="123" spans="1:12" ht="14.5" x14ac:dyDescent="0.35">
      <c r="A123" s="167"/>
      <c r="B123" s="167"/>
      <c r="C123" s="167"/>
      <c r="D123" s="167"/>
      <c r="E123" s="167"/>
      <c r="F123" s="167"/>
      <c r="G123" s="167"/>
      <c r="H123" s="167"/>
      <c r="I123" s="167"/>
      <c r="J123" s="167"/>
      <c r="K123" s="167"/>
      <c r="L123" s="167"/>
    </row>
    <row r="124" spans="1:12" ht="14.5" x14ac:dyDescent="0.35">
      <c r="A124" s="167"/>
      <c r="B124" s="167"/>
      <c r="C124" s="167"/>
      <c r="D124" s="167"/>
      <c r="E124" s="167"/>
      <c r="F124" s="167"/>
      <c r="G124" s="167"/>
      <c r="H124" s="167"/>
      <c r="I124" s="167"/>
      <c r="J124" s="167"/>
      <c r="K124" s="167"/>
      <c r="L124" s="167"/>
    </row>
    <row r="125" spans="1:12" ht="14.5" x14ac:dyDescent="0.35">
      <c r="A125" s="167"/>
      <c r="B125" s="167"/>
      <c r="C125" s="167"/>
      <c r="D125" s="167"/>
      <c r="E125" s="167"/>
      <c r="F125" s="167"/>
      <c r="G125" s="167"/>
      <c r="H125" s="167"/>
      <c r="I125" s="167"/>
      <c r="J125" s="167"/>
      <c r="K125" s="167"/>
      <c r="L125" s="167"/>
    </row>
    <row r="126" spans="1:12" ht="14.5" x14ac:dyDescent="0.35">
      <c r="A126" s="167"/>
      <c r="B126" s="167"/>
      <c r="C126" s="167"/>
      <c r="D126" s="167"/>
      <c r="E126" s="167"/>
      <c r="F126" s="167"/>
      <c r="G126" s="167"/>
      <c r="H126" s="167"/>
      <c r="I126" s="167"/>
      <c r="J126" s="167"/>
      <c r="K126" s="167"/>
      <c r="L126" s="167"/>
    </row>
    <row r="127" spans="1:12" ht="14.5" x14ac:dyDescent="0.35">
      <c r="A127" s="167"/>
      <c r="B127" s="167"/>
      <c r="C127" s="167"/>
      <c r="D127" s="167"/>
      <c r="E127" s="167"/>
      <c r="F127" s="167"/>
      <c r="G127" s="167"/>
      <c r="H127" s="167"/>
      <c r="I127" s="167"/>
      <c r="J127" s="167"/>
      <c r="K127" s="167"/>
      <c r="L127" s="167"/>
    </row>
    <row r="128" spans="1:12" ht="14.5" x14ac:dyDescent="0.35">
      <c r="A128" s="167"/>
      <c r="B128" s="167"/>
      <c r="C128" s="167"/>
      <c r="D128" s="167"/>
      <c r="E128" s="167"/>
      <c r="F128" s="167"/>
      <c r="G128" s="167"/>
      <c r="H128" s="167"/>
      <c r="I128" s="167"/>
      <c r="J128" s="167"/>
      <c r="K128" s="167"/>
      <c r="L128" s="167"/>
    </row>
    <row r="129" spans="1:12" ht="14.5" x14ac:dyDescent="0.35">
      <c r="A129" s="167"/>
      <c r="B129" s="167"/>
      <c r="C129" s="167"/>
      <c r="D129" s="167"/>
      <c r="E129" s="167"/>
      <c r="F129" s="167"/>
      <c r="G129" s="167"/>
      <c r="H129" s="167"/>
      <c r="I129" s="167"/>
      <c r="J129" s="167"/>
      <c r="K129" s="167"/>
      <c r="L129" s="167"/>
    </row>
    <row r="130" spans="1:12" ht="14.5" x14ac:dyDescent="0.35">
      <c r="A130" s="167"/>
      <c r="B130" s="167"/>
      <c r="C130" s="167"/>
      <c r="D130" s="167"/>
      <c r="E130" s="167"/>
      <c r="F130" s="167"/>
      <c r="G130" s="167"/>
      <c r="H130" s="167"/>
      <c r="I130" s="167"/>
      <c r="J130" s="167"/>
      <c r="K130" s="167"/>
      <c r="L130" s="167"/>
    </row>
    <row r="131" spans="1:12" ht="14.5" x14ac:dyDescent="0.35">
      <c r="A131" s="167"/>
      <c r="B131" s="167"/>
      <c r="C131" s="167"/>
      <c r="D131" s="167"/>
      <c r="E131" s="167"/>
      <c r="F131" s="167"/>
      <c r="G131" s="167"/>
      <c r="H131" s="167"/>
      <c r="I131" s="167"/>
      <c r="J131" s="167"/>
      <c r="K131" s="167"/>
      <c r="L131" s="167"/>
    </row>
    <row r="132" spans="1:12" ht="14.5" x14ac:dyDescent="0.35">
      <c r="A132" s="167"/>
      <c r="B132" s="167"/>
      <c r="C132" s="167"/>
      <c r="D132" s="167"/>
      <c r="E132" s="167"/>
      <c r="F132" s="167"/>
      <c r="G132" s="167"/>
      <c r="H132" s="167"/>
      <c r="I132" s="167"/>
      <c r="J132" s="167"/>
      <c r="K132" s="167"/>
      <c r="L132" s="167"/>
    </row>
    <row r="133" spans="1:12" ht="14.5" x14ac:dyDescent="0.35">
      <c r="A133" s="167"/>
      <c r="B133" s="167"/>
      <c r="C133" s="167"/>
      <c r="D133" s="167"/>
      <c r="E133" s="167"/>
      <c r="F133" s="167"/>
      <c r="G133" s="167"/>
      <c r="H133" s="167"/>
      <c r="I133" s="167"/>
      <c r="J133" s="167"/>
      <c r="K133" s="167"/>
      <c r="L133" s="167"/>
    </row>
    <row r="134" spans="1:12" ht="14.5" x14ac:dyDescent="0.35">
      <c r="A134" s="167"/>
      <c r="B134" s="167"/>
      <c r="C134" s="167"/>
      <c r="D134" s="167"/>
      <c r="E134" s="167"/>
      <c r="F134" s="167"/>
      <c r="G134" s="167"/>
      <c r="H134" s="167"/>
      <c r="I134" s="167"/>
      <c r="J134" s="167"/>
      <c r="K134" s="167"/>
      <c r="L134" s="167"/>
    </row>
    <row r="135" spans="1:12" ht="14.5" x14ac:dyDescent="0.35">
      <c r="A135" s="167"/>
      <c r="B135" s="167"/>
      <c r="C135" s="167"/>
      <c r="D135" s="167"/>
      <c r="E135" s="167"/>
      <c r="F135" s="167"/>
      <c r="G135" s="167"/>
      <c r="H135" s="167"/>
      <c r="I135" s="167"/>
      <c r="J135" s="167"/>
      <c r="K135" s="167"/>
      <c r="L135" s="167"/>
    </row>
    <row r="136" spans="1:12" ht="14.5" x14ac:dyDescent="0.35">
      <c r="A136" s="167"/>
      <c r="B136" s="167"/>
      <c r="C136" s="167"/>
      <c r="D136" s="167"/>
      <c r="E136" s="167"/>
      <c r="F136" s="167"/>
      <c r="G136" s="167"/>
      <c r="H136" s="167"/>
      <c r="I136" s="167"/>
      <c r="J136" s="167"/>
      <c r="K136" s="167"/>
      <c r="L136" s="167"/>
    </row>
    <row r="137" spans="1:12" ht="14.5" x14ac:dyDescent="0.35">
      <c r="A137" s="167"/>
      <c r="B137" s="167"/>
      <c r="C137" s="167"/>
      <c r="D137" s="167"/>
      <c r="E137" s="167"/>
      <c r="F137" s="167"/>
      <c r="G137" s="167"/>
      <c r="H137" s="167"/>
      <c r="I137" s="167"/>
      <c r="J137" s="167"/>
      <c r="K137" s="167"/>
      <c r="L137" s="167"/>
    </row>
    <row r="138" spans="1:12" ht="14.5" x14ac:dyDescent="0.35">
      <c r="A138" s="167"/>
      <c r="B138" s="167"/>
      <c r="C138" s="167"/>
      <c r="D138" s="167"/>
      <c r="E138" s="167"/>
      <c r="F138" s="167"/>
      <c r="G138" s="167"/>
      <c r="H138" s="167"/>
      <c r="I138" s="167"/>
      <c r="J138" s="167"/>
      <c r="K138" s="167"/>
      <c r="L138" s="167"/>
    </row>
    <row r="139" spans="1:12" ht="14.5" x14ac:dyDescent="0.35">
      <c r="A139" s="167"/>
      <c r="B139" s="167"/>
      <c r="C139" s="167"/>
      <c r="D139" s="167"/>
      <c r="E139" s="167"/>
      <c r="F139" s="167"/>
      <c r="G139" s="167"/>
      <c r="H139" s="167"/>
      <c r="I139" s="167"/>
      <c r="J139" s="167"/>
      <c r="K139" s="167"/>
      <c r="L139" s="167"/>
    </row>
    <row r="140" spans="1:12" ht="14.5" x14ac:dyDescent="0.35">
      <c r="A140" s="167"/>
      <c r="B140" s="167"/>
      <c r="C140" s="167"/>
      <c r="D140" s="167"/>
      <c r="E140" s="167"/>
      <c r="F140" s="167"/>
      <c r="G140" s="167"/>
      <c r="H140" s="167"/>
      <c r="I140" s="167"/>
      <c r="J140" s="167"/>
      <c r="K140" s="167"/>
      <c r="L140" s="167"/>
    </row>
    <row r="141" spans="1:12" ht="14.5" x14ac:dyDescent="0.35">
      <c r="A141" s="167"/>
      <c r="B141" s="167"/>
      <c r="C141" s="167"/>
      <c r="D141" s="167"/>
      <c r="E141" s="167"/>
      <c r="F141" s="167"/>
      <c r="G141" s="167"/>
      <c r="H141" s="167"/>
      <c r="I141" s="167"/>
      <c r="J141" s="167"/>
      <c r="K141" s="167"/>
      <c r="L141" s="167"/>
    </row>
    <row r="142" spans="1:12" ht="14.5" x14ac:dyDescent="0.35">
      <c r="A142" s="167"/>
      <c r="B142" s="167"/>
      <c r="C142" s="167"/>
      <c r="D142" s="167"/>
      <c r="E142" s="167"/>
      <c r="F142" s="167"/>
      <c r="G142" s="167"/>
      <c r="H142" s="167"/>
      <c r="I142" s="167"/>
      <c r="J142" s="167"/>
      <c r="K142" s="167"/>
      <c r="L142" s="167"/>
    </row>
    <row r="143" spans="1:12" ht="14.5" x14ac:dyDescent="0.35">
      <c r="A143" s="167"/>
      <c r="B143" s="167"/>
      <c r="C143" s="167"/>
      <c r="D143" s="167"/>
      <c r="E143" s="167"/>
      <c r="F143" s="167"/>
      <c r="G143" s="167"/>
      <c r="H143" s="167"/>
      <c r="I143" s="167"/>
      <c r="J143" s="167"/>
      <c r="K143" s="167"/>
      <c r="L143" s="167"/>
    </row>
    <row r="144" spans="1:12" ht="14.5" x14ac:dyDescent="0.35">
      <c r="A144" s="167"/>
      <c r="B144" s="167"/>
      <c r="C144" s="167"/>
      <c r="D144" s="167"/>
      <c r="E144" s="167"/>
      <c r="F144" s="167"/>
      <c r="G144" s="167"/>
      <c r="H144" s="167"/>
      <c r="I144" s="167"/>
      <c r="J144" s="167"/>
      <c r="K144" s="167"/>
      <c r="L144" s="167"/>
    </row>
    <row r="145" spans="1:12" ht="14.5" x14ac:dyDescent="0.35">
      <c r="A145" s="167"/>
      <c r="B145" s="167"/>
      <c r="C145" s="167"/>
      <c r="D145" s="167"/>
      <c r="E145" s="167"/>
      <c r="F145" s="167"/>
      <c r="G145" s="167"/>
      <c r="H145" s="167"/>
      <c r="I145" s="167"/>
      <c r="J145" s="167"/>
      <c r="K145" s="167"/>
      <c r="L145" s="167"/>
    </row>
    <row r="146" spans="1:12" ht="14.5" x14ac:dyDescent="0.35">
      <c r="A146" s="167"/>
      <c r="B146" s="167"/>
      <c r="C146" s="167"/>
      <c r="D146" s="167"/>
      <c r="E146" s="167"/>
      <c r="F146" s="167"/>
      <c r="G146" s="167"/>
      <c r="H146" s="167"/>
      <c r="I146" s="167"/>
      <c r="J146" s="167"/>
      <c r="K146" s="167"/>
      <c r="L146" s="167"/>
    </row>
    <row r="147" spans="1:12" ht="14.5" x14ac:dyDescent="0.35">
      <c r="A147" s="167"/>
      <c r="B147" s="167"/>
      <c r="C147" s="167"/>
      <c r="D147" s="167"/>
      <c r="E147" s="167"/>
      <c r="F147" s="167"/>
      <c r="G147" s="167"/>
      <c r="H147" s="167"/>
      <c r="I147" s="167"/>
      <c r="J147" s="167"/>
      <c r="K147" s="167"/>
      <c r="L147" s="167"/>
    </row>
    <row r="148" spans="1:12" ht="14.5" x14ac:dyDescent="0.35">
      <c r="A148" s="167"/>
      <c r="B148" s="167"/>
      <c r="C148" s="167"/>
      <c r="D148" s="167"/>
      <c r="E148" s="167"/>
      <c r="F148" s="167"/>
      <c r="G148" s="167"/>
      <c r="H148" s="167"/>
      <c r="I148" s="167"/>
      <c r="J148" s="167"/>
      <c r="K148" s="167"/>
      <c r="L148" s="167"/>
    </row>
    <row r="149" spans="1:12" ht="14.5" x14ac:dyDescent="0.35">
      <c r="A149" s="167"/>
      <c r="B149" s="167"/>
      <c r="C149" s="167"/>
      <c r="D149" s="167"/>
      <c r="E149" s="167"/>
      <c r="F149" s="167"/>
      <c r="G149" s="167"/>
      <c r="H149" s="167"/>
      <c r="I149" s="167"/>
      <c r="J149" s="167"/>
      <c r="K149" s="167"/>
      <c r="L149" s="167"/>
    </row>
    <row r="150" spans="1:12" ht="14.5" x14ac:dyDescent="0.35">
      <c r="A150" s="167"/>
      <c r="B150" s="167"/>
      <c r="C150" s="167"/>
      <c r="D150" s="167"/>
      <c r="E150" s="167"/>
      <c r="F150" s="167"/>
      <c r="G150" s="167"/>
      <c r="H150" s="167"/>
      <c r="I150" s="167"/>
      <c r="J150" s="167"/>
      <c r="K150" s="167"/>
      <c r="L150" s="167"/>
    </row>
    <row r="151" spans="1:12" ht="14.5" x14ac:dyDescent="0.35">
      <c r="A151" s="167"/>
      <c r="B151" s="167"/>
      <c r="C151" s="167"/>
      <c r="D151" s="167"/>
      <c r="E151" s="167"/>
      <c r="F151" s="167"/>
      <c r="G151" s="167"/>
      <c r="H151" s="167"/>
      <c r="I151" s="167"/>
      <c r="J151" s="167"/>
      <c r="K151" s="167"/>
      <c r="L151" s="167"/>
    </row>
    <row r="152" spans="1:12" ht="14.5" x14ac:dyDescent="0.35">
      <c r="A152" s="167"/>
      <c r="B152" s="167"/>
      <c r="C152" s="167"/>
      <c r="D152" s="167"/>
      <c r="E152" s="167"/>
      <c r="F152" s="167"/>
      <c r="G152" s="167"/>
      <c r="H152" s="167"/>
      <c r="I152" s="167"/>
      <c r="J152" s="167"/>
      <c r="K152" s="167"/>
      <c r="L152" s="167"/>
    </row>
    <row r="153" spans="1:12" ht="14.5" x14ac:dyDescent="0.35">
      <c r="A153" s="167"/>
      <c r="B153" s="167"/>
      <c r="C153" s="167"/>
      <c r="D153" s="167"/>
      <c r="E153" s="167"/>
      <c r="F153" s="167"/>
      <c r="G153" s="167"/>
      <c r="H153" s="167"/>
      <c r="I153" s="167"/>
      <c r="J153" s="167"/>
      <c r="K153" s="167"/>
      <c r="L153" s="167"/>
    </row>
    <row r="154" spans="1:12" ht="14.5" x14ac:dyDescent="0.35">
      <c r="A154" s="167"/>
      <c r="B154" s="167"/>
      <c r="C154" s="167"/>
      <c r="D154" s="167"/>
      <c r="E154" s="167"/>
      <c r="F154" s="167"/>
      <c r="G154" s="167"/>
      <c r="H154" s="167"/>
      <c r="I154" s="167"/>
      <c r="J154" s="167"/>
      <c r="K154" s="167"/>
      <c r="L154" s="167"/>
    </row>
    <row r="155" spans="1:12" ht="14.5" x14ac:dyDescent="0.35">
      <c r="A155" s="167"/>
      <c r="B155" s="167"/>
      <c r="C155" s="167"/>
      <c r="D155" s="167"/>
      <c r="E155" s="167"/>
      <c r="F155" s="167"/>
      <c r="G155" s="167"/>
      <c r="H155" s="167"/>
      <c r="I155" s="167"/>
      <c r="J155" s="167"/>
      <c r="K155" s="167"/>
      <c r="L155" s="167"/>
    </row>
    <row r="156" spans="1:12" ht="14.5" x14ac:dyDescent="0.35">
      <c r="A156" s="167"/>
      <c r="B156" s="167"/>
      <c r="C156" s="167"/>
      <c r="D156" s="167"/>
      <c r="E156" s="167"/>
      <c r="F156" s="167"/>
      <c r="G156" s="167"/>
      <c r="H156" s="167"/>
      <c r="I156" s="167"/>
      <c r="J156" s="167"/>
      <c r="K156" s="167"/>
      <c r="L156" s="167"/>
    </row>
    <row r="157" spans="1:12" ht="14.5" x14ac:dyDescent="0.35">
      <c r="A157" s="167"/>
      <c r="B157" s="167"/>
      <c r="C157" s="167"/>
      <c r="D157" s="167"/>
      <c r="E157" s="167"/>
      <c r="F157" s="167"/>
      <c r="G157" s="167"/>
      <c r="H157" s="167"/>
      <c r="I157" s="167"/>
      <c r="J157" s="167"/>
      <c r="K157" s="167"/>
      <c r="L157" s="167"/>
    </row>
    <row r="158" spans="1:12" ht="14.5" x14ac:dyDescent="0.35">
      <c r="A158" s="167"/>
      <c r="B158" s="167"/>
      <c r="C158" s="167"/>
      <c r="D158" s="167"/>
      <c r="E158" s="167"/>
      <c r="F158" s="167"/>
      <c r="G158" s="167"/>
      <c r="H158" s="167"/>
      <c r="I158" s="167"/>
      <c r="J158" s="167"/>
      <c r="K158" s="167"/>
      <c r="L158" s="167"/>
    </row>
    <row r="159" spans="1:12" ht="14.5" x14ac:dyDescent="0.35">
      <c r="A159" s="167"/>
      <c r="B159" s="167"/>
      <c r="C159" s="167"/>
      <c r="D159" s="167"/>
      <c r="E159" s="167"/>
      <c r="F159" s="167"/>
      <c r="G159" s="167"/>
      <c r="H159" s="167"/>
      <c r="I159" s="167"/>
      <c r="J159" s="167"/>
      <c r="K159" s="167"/>
      <c r="L159" s="167"/>
    </row>
    <row r="160" spans="1:12" ht="14.5" x14ac:dyDescent="0.35">
      <c r="A160" s="167"/>
      <c r="B160" s="167"/>
      <c r="C160" s="167"/>
      <c r="D160" s="167"/>
      <c r="E160" s="167"/>
      <c r="F160" s="167"/>
      <c r="G160" s="167"/>
      <c r="H160" s="167"/>
      <c r="I160" s="167"/>
      <c r="J160" s="167"/>
      <c r="K160" s="167"/>
      <c r="L160" s="167"/>
    </row>
    <row r="161" spans="1:12" ht="14.5" x14ac:dyDescent="0.35">
      <c r="A161" s="167"/>
      <c r="B161" s="167"/>
      <c r="C161" s="167"/>
      <c r="D161" s="167"/>
      <c r="E161" s="167"/>
      <c r="F161" s="167"/>
      <c r="G161" s="167"/>
      <c r="H161" s="167"/>
      <c r="I161" s="167"/>
      <c r="J161" s="167"/>
      <c r="K161" s="167"/>
      <c r="L161" s="167"/>
    </row>
    <row r="162" spans="1:12" ht="14.5" x14ac:dyDescent="0.35">
      <c r="A162" s="167"/>
      <c r="B162" s="167"/>
      <c r="C162" s="167"/>
      <c r="D162" s="167"/>
      <c r="E162" s="167"/>
      <c r="F162" s="167"/>
      <c r="G162" s="167"/>
      <c r="H162" s="167"/>
      <c r="I162" s="167"/>
      <c r="J162" s="167"/>
      <c r="K162" s="167"/>
      <c r="L162" s="167"/>
    </row>
    <row r="163" spans="1:12" ht="14.5" x14ac:dyDescent="0.35">
      <c r="A163" s="167"/>
      <c r="B163" s="167"/>
      <c r="C163" s="167"/>
      <c r="D163" s="167"/>
      <c r="E163" s="167"/>
      <c r="F163" s="167"/>
      <c r="G163" s="167"/>
      <c r="H163" s="167"/>
      <c r="I163" s="167"/>
      <c r="J163" s="167"/>
      <c r="K163" s="167"/>
      <c r="L163" s="167"/>
    </row>
    <row r="164" spans="1:12" ht="14.5" x14ac:dyDescent="0.35">
      <c r="A164" s="167"/>
      <c r="B164" s="167"/>
      <c r="C164" s="167"/>
      <c r="D164" s="167"/>
      <c r="E164" s="167"/>
      <c r="F164" s="167"/>
      <c r="G164" s="167"/>
      <c r="H164" s="167"/>
      <c r="I164" s="167"/>
      <c r="J164" s="167"/>
      <c r="K164" s="167"/>
      <c r="L164" s="167"/>
    </row>
    <row r="165" spans="1:12" ht="14.5" x14ac:dyDescent="0.35">
      <c r="A165" s="167"/>
      <c r="B165" s="167"/>
      <c r="C165" s="167"/>
      <c r="D165" s="167"/>
      <c r="E165" s="167"/>
      <c r="F165" s="167"/>
      <c r="G165" s="167"/>
      <c r="H165" s="167"/>
      <c r="I165" s="167"/>
      <c r="J165" s="167"/>
      <c r="K165" s="167"/>
      <c r="L165" s="167"/>
    </row>
    <row r="166" spans="1:12" ht="14.5" x14ac:dyDescent="0.35">
      <c r="A166" s="167"/>
      <c r="B166" s="167"/>
      <c r="C166" s="167"/>
      <c r="D166" s="167"/>
      <c r="E166" s="167"/>
      <c r="F166" s="167"/>
      <c r="G166" s="167"/>
      <c r="H166" s="167"/>
      <c r="I166" s="167"/>
      <c r="J166" s="167"/>
      <c r="K166" s="167"/>
      <c r="L166" s="167"/>
    </row>
    <row r="167" spans="1:12" ht="14.5" x14ac:dyDescent="0.35">
      <c r="A167" s="167"/>
      <c r="B167" s="167"/>
      <c r="C167" s="167"/>
      <c r="D167" s="167"/>
      <c r="E167" s="167"/>
      <c r="F167" s="167"/>
      <c r="G167" s="167"/>
      <c r="H167" s="167"/>
      <c r="I167" s="167"/>
      <c r="J167" s="167"/>
      <c r="K167" s="167"/>
      <c r="L167" s="167"/>
    </row>
    <row r="168" spans="1:12" ht="14.5" x14ac:dyDescent="0.35">
      <c r="A168" s="167"/>
      <c r="B168" s="167"/>
      <c r="C168" s="167"/>
      <c r="D168" s="167"/>
      <c r="E168" s="167"/>
      <c r="F168" s="167"/>
      <c r="G168" s="167"/>
      <c r="H168" s="167"/>
      <c r="I168" s="167"/>
      <c r="J168" s="167"/>
      <c r="K168" s="167"/>
      <c r="L168" s="167"/>
    </row>
    <row r="169" spans="1:12" ht="14.5" x14ac:dyDescent="0.35">
      <c r="A169" s="167"/>
      <c r="B169" s="167"/>
      <c r="C169" s="167"/>
      <c r="D169" s="167"/>
      <c r="E169" s="167"/>
      <c r="F169" s="167"/>
      <c r="G169" s="167"/>
      <c r="H169" s="167"/>
      <c r="I169" s="167"/>
      <c r="J169" s="167"/>
      <c r="K169" s="167"/>
      <c r="L169" s="167"/>
    </row>
    <row r="170" spans="1:12" ht="14.5" x14ac:dyDescent="0.35">
      <c r="A170" s="167"/>
      <c r="B170" s="167"/>
      <c r="C170" s="167"/>
      <c r="D170" s="167"/>
      <c r="E170" s="167"/>
      <c r="F170" s="167"/>
      <c r="G170" s="167"/>
      <c r="H170" s="167"/>
      <c r="I170" s="167"/>
      <c r="J170" s="167"/>
      <c r="K170" s="167"/>
      <c r="L170" s="167"/>
    </row>
    <row r="171" spans="1:12" ht="14.5" x14ac:dyDescent="0.35">
      <c r="A171" s="167"/>
      <c r="B171" s="167"/>
      <c r="C171" s="167"/>
      <c r="D171" s="167"/>
      <c r="E171" s="167"/>
      <c r="F171" s="167"/>
      <c r="G171" s="167"/>
      <c r="H171" s="167"/>
      <c r="I171" s="167"/>
      <c r="J171" s="167"/>
      <c r="K171" s="167"/>
      <c r="L171" s="167"/>
    </row>
    <row r="172" spans="1:12" ht="14.5" x14ac:dyDescent="0.35">
      <c r="A172" s="167"/>
      <c r="B172" s="167"/>
      <c r="C172" s="167"/>
      <c r="D172" s="167"/>
      <c r="E172" s="167"/>
      <c r="F172" s="167"/>
      <c r="G172" s="167"/>
      <c r="H172" s="167"/>
      <c r="I172" s="167"/>
      <c r="J172" s="167"/>
      <c r="K172" s="167"/>
      <c r="L172" s="167"/>
    </row>
    <row r="173" spans="1:12" ht="14.5" x14ac:dyDescent="0.35">
      <c r="A173" s="167"/>
      <c r="B173" s="167"/>
      <c r="C173" s="167"/>
      <c r="D173" s="167"/>
      <c r="E173" s="167"/>
      <c r="F173" s="167"/>
      <c r="G173" s="167"/>
      <c r="H173" s="167"/>
      <c r="I173" s="167"/>
      <c r="J173" s="167"/>
      <c r="K173" s="167"/>
      <c r="L173" s="167"/>
    </row>
    <row r="174" spans="1:12" ht="14.5" x14ac:dyDescent="0.35">
      <c r="A174" s="167"/>
      <c r="B174" s="167"/>
      <c r="C174" s="167"/>
      <c r="D174" s="167"/>
      <c r="E174" s="167"/>
      <c r="F174" s="167"/>
      <c r="G174" s="167"/>
      <c r="H174" s="167"/>
      <c r="I174" s="167"/>
      <c r="J174" s="167"/>
      <c r="K174" s="167"/>
      <c r="L174" s="167"/>
    </row>
    <row r="175" spans="1:12" ht="14.5" x14ac:dyDescent="0.35">
      <c r="A175" s="167"/>
      <c r="B175" s="167"/>
      <c r="C175" s="167"/>
      <c r="D175" s="167"/>
      <c r="E175" s="167"/>
      <c r="F175" s="167"/>
      <c r="G175" s="167"/>
      <c r="H175" s="167"/>
      <c r="I175" s="167"/>
      <c r="J175" s="167"/>
      <c r="K175" s="167"/>
      <c r="L175" s="167"/>
    </row>
    <row r="176" spans="1:12" ht="14.5" x14ac:dyDescent="0.35">
      <c r="A176" s="167"/>
      <c r="B176" s="167"/>
      <c r="C176" s="167"/>
      <c r="D176" s="167"/>
      <c r="E176" s="167"/>
      <c r="F176" s="167"/>
      <c r="G176" s="167"/>
      <c r="H176" s="167"/>
      <c r="I176" s="167"/>
      <c r="J176" s="167"/>
      <c r="K176" s="167"/>
      <c r="L176" s="167"/>
    </row>
    <row r="177" spans="1:12" ht="14.5" x14ac:dyDescent="0.35">
      <c r="A177" s="167"/>
      <c r="B177" s="167"/>
      <c r="C177" s="167"/>
      <c r="D177" s="167"/>
      <c r="E177" s="167"/>
      <c r="F177" s="167"/>
      <c r="G177" s="167"/>
      <c r="H177" s="167"/>
      <c r="I177" s="167"/>
      <c r="J177" s="167"/>
      <c r="K177" s="167"/>
      <c r="L177" s="167"/>
    </row>
    <row r="178" spans="1:12" ht="14.5" x14ac:dyDescent="0.35">
      <c r="A178" s="167"/>
      <c r="B178" s="167"/>
      <c r="C178" s="167"/>
      <c r="D178" s="167"/>
      <c r="E178" s="167"/>
      <c r="F178" s="167"/>
      <c r="G178" s="167"/>
      <c r="H178" s="167"/>
      <c r="I178" s="167"/>
      <c r="J178" s="167"/>
      <c r="K178" s="167"/>
      <c r="L178" s="167"/>
    </row>
    <row r="179" spans="1:12" ht="14.5" x14ac:dyDescent="0.35">
      <c r="A179" s="167"/>
      <c r="B179" s="167"/>
      <c r="C179" s="167"/>
      <c r="D179" s="167"/>
      <c r="E179" s="167"/>
      <c r="F179" s="167"/>
      <c r="G179" s="167"/>
      <c r="H179" s="167"/>
      <c r="I179" s="167"/>
      <c r="J179" s="167"/>
      <c r="K179" s="167"/>
      <c r="L179" s="167"/>
    </row>
    <row r="180" spans="1:12" ht="14.5" x14ac:dyDescent="0.35">
      <c r="A180" s="167"/>
      <c r="B180" s="167"/>
      <c r="C180" s="167"/>
      <c r="D180" s="167"/>
      <c r="E180" s="167"/>
      <c r="F180" s="167"/>
      <c r="G180" s="167"/>
      <c r="H180" s="167"/>
      <c r="I180" s="167"/>
      <c r="J180" s="167"/>
      <c r="K180" s="167"/>
      <c r="L180" s="167"/>
    </row>
    <row r="181" spans="1:12" ht="14.5" x14ac:dyDescent="0.35">
      <c r="A181" s="167"/>
      <c r="B181" s="167"/>
      <c r="C181" s="167"/>
      <c r="D181" s="167"/>
      <c r="E181" s="167"/>
      <c r="F181" s="167"/>
      <c r="G181" s="167"/>
      <c r="H181" s="167"/>
      <c r="I181" s="167"/>
      <c r="J181" s="167"/>
      <c r="K181" s="167"/>
      <c r="L181" s="167"/>
    </row>
    <row r="182" spans="1:12" ht="14.5" x14ac:dyDescent="0.35">
      <c r="A182" s="167"/>
      <c r="B182" s="167"/>
      <c r="C182" s="167"/>
      <c r="D182" s="167"/>
      <c r="E182" s="167"/>
      <c r="F182" s="167"/>
      <c r="G182" s="167"/>
      <c r="H182" s="167"/>
      <c r="I182" s="167"/>
      <c r="J182" s="167"/>
      <c r="K182" s="167"/>
      <c r="L182" s="167"/>
    </row>
    <row r="183" spans="1:12" ht="14.5" x14ac:dyDescent="0.35">
      <c r="A183" s="167"/>
      <c r="B183" s="167"/>
      <c r="C183" s="167"/>
      <c r="D183" s="167"/>
      <c r="E183" s="167"/>
      <c r="F183" s="167"/>
      <c r="G183" s="167"/>
      <c r="H183" s="167"/>
      <c r="I183" s="167"/>
      <c r="J183" s="167"/>
      <c r="K183" s="167"/>
      <c r="L183" s="167"/>
    </row>
    <row r="184" spans="1:12" ht="14.5" x14ac:dyDescent="0.35">
      <c r="A184" s="167"/>
      <c r="B184" s="167"/>
      <c r="C184" s="167"/>
      <c r="D184" s="167"/>
      <c r="E184" s="167"/>
      <c r="F184" s="167"/>
      <c r="G184" s="167"/>
      <c r="H184" s="167"/>
      <c r="I184" s="167"/>
      <c r="J184" s="167"/>
      <c r="K184" s="167"/>
      <c r="L184" s="167"/>
    </row>
    <row r="185" spans="1:12" ht="14.5" x14ac:dyDescent="0.35">
      <c r="A185" s="167"/>
      <c r="B185" s="167"/>
      <c r="C185" s="167"/>
      <c r="D185" s="167"/>
      <c r="E185" s="167"/>
      <c r="F185" s="167"/>
      <c r="G185" s="167"/>
      <c r="H185" s="167"/>
      <c r="I185" s="167"/>
      <c r="J185" s="167"/>
      <c r="K185" s="167"/>
      <c r="L185" s="167"/>
    </row>
    <row r="186" spans="1:12" ht="14.5" x14ac:dyDescent="0.35">
      <c r="A186" s="167"/>
      <c r="B186" s="167"/>
      <c r="C186" s="167"/>
      <c r="D186" s="167"/>
      <c r="E186" s="167"/>
      <c r="F186" s="167"/>
      <c r="G186" s="167"/>
      <c r="H186" s="167"/>
      <c r="I186" s="167"/>
      <c r="J186" s="167"/>
      <c r="K186" s="167"/>
      <c r="L186" s="167"/>
    </row>
    <row r="187" spans="1:12" ht="14.5" x14ac:dyDescent="0.35">
      <c r="A187" s="167"/>
      <c r="B187" s="167"/>
      <c r="C187" s="167"/>
      <c r="D187" s="167"/>
      <c r="E187" s="167"/>
      <c r="F187" s="167"/>
      <c r="G187" s="167"/>
      <c r="H187" s="167"/>
      <c r="I187" s="167"/>
      <c r="J187" s="167"/>
      <c r="K187" s="167"/>
      <c r="L187" s="167"/>
    </row>
  </sheetData>
  <sheetProtection algorithmName="SHA-512" hashValue="xJ4R95svoix+AG1s8Xy9qFgJ3asin0zsMHaaLjFMbTkTfPEz8/iAagyStEKkfp35QjC5tQwf/r87M45osouf7g==" saltValue="oa4934miNSxp4t3aFyspOw==" spinCount="100000" sheet="1" objects="1" scenarios="1"/>
  <mergeCells count="10">
    <mergeCell ref="A36:I37"/>
    <mergeCell ref="A1:I1"/>
    <mergeCell ref="A2:I2"/>
    <mergeCell ref="A3:I3"/>
    <mergeCell ref="F22:F23"/>
    <mergeCell ref="H18:I22"/>
    <mergeCell ref="B22:B23"/>
    <mergeCell ref="C22:C23"/>
    <mergeCell ref="D22:D23"/>
    <mergeCell ref="E22:E23"/>
  </mergeCells>
  <phoneticPr fontId="8" type="noConversion"/>
  <printOptions horizontalCentered="1"/>
  <pageMargins left="0.75" right="0.75" top="0.7" bottom="0.79" header="0.5" footer="0.5"/>
  <pageSetup scale="67" orientation="portrait" r:id="rId1"/>
  <headerFooter alignWithMargins="0"/>
  <rowBreaks count="1" manualBreakCount="1">
    <brk id="4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'Proposal Questions'!$S$1:$S$2</xm:f>
          </x14:formula1>
          <xm:sqref>F16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52"/>
  </sheetPr>
  <dimension ref="A1:I10"/>
  <sheetViews>
    <sheetView zoomScale="120" zoomScaleNormal="120" workbookViewId="0">
      <selection activeCell="G5" sqref="G5"/>
    </sheetView>
  </sheetViews>
  <sheetFormatPr defaultColWidth="9.1796875" defaultRowHeight="13" x14ac:dyDescent="0.3"/>
  <cols>
    <col min="1" max="1" width="18.7265625" style="6" customWidth="1"/>
    <col min="2" max="5" width="16.1796875" style="6" customWidth="1"/>
    <col min="6" max="16384" width="9.1796875" style="6"/>
  </cols>
  <sheetData>
    <row r="1" spans="1:9" ht="18.5" x14ac:dyDescent="0.45">
      <c r="A1" s="479" t="str">
        <f>"Table Three: Monthly Claims Paid for " &amp; year - 1</f>
        <v>Table Three: Monthly Claims Paid for 2020</v>
      </c>
      <c r="B1" s="479"/>
      <c r="C1" s="479"/>
      <c r="D1" s="479"/>
      <c r="E1" s="479"/>
      <c r="F1" s="125"/>
      <c r="G1" s="125"/>
      <c r="H1" s="125"/>
    </row>
    <row r="2" spans="1:9" ht="14.5" x14ac:dyDescent="0.35">
      <c r="A2" s="480" t="s">
        <v>388</v>
      </c>
      <c r="B2" s="480"/>
      <c r="C2" s="480"/>
      <c r="D2" s="480"/>
      <c r="E2" s="480"/>
      <c r="F2" s="184"/>
      <c r="G2" s="184"/>
      <c r="H2" s="184"/>
      <c r="I2" s="73"/>
    </row>
    <row r="3" spans="1:9" ht="15" thickBot="1" x14ac:dyDescent="0.4">
      <c r="A3" s="494" t="str">
        <f>"4/30/" &amp;year-1</f>
        <v>4/30/2020</v>
      </c>
      <c r="B3" s="494"/>
      <c r="C3" s="494"/>
      <c r="D3" s="494"/>
      <c r="E3" s="494"/>
      <c r="F3" s="184"/>
      <c r="G3" s="184"/>
      <c r="H3" s="184"/>
      <c r="I3" s="73"/>
    </row>
    <row r="4" spans="1:9" ht="15" thickBot="1" x14ac:dyDescent="0.4">
      <c r="A4" s="61"/>
      <c r="B4" s="185"/>
      <c r="C4" s="491" t="s">
        <v>151</v>
      </c>
      <c r="D4" s="492"/>
      <c r="E4" s="493"/>
    </row>
    <row r="5" spans="1:9" ht="15" thickBot="1" x14ac:dyDescent="0.4">
      <c r="A5" s="186" t="s">
        <v>148</v>
      </c>
      <c r="B5" s="187" t="s">
        <v>149</v>
      </c>
      <c r="C5" s="188">
        <f>year - 1</f>
        <v>2020</v>
      </c>
      <c r="D5" s="188">
        <f>year - 2</f>
        <v>2019</v>
      </c>
      <c r="E5" s="189" t="str">
        <f>year-3 &amp; " &amp; prior"</f>
        <v>2018 &amp; prior</v>
      </c>
    </row>
    <row r="6" spans="1:9" ht="25" customHeight="1" x14ac:dyDescent="0.35">
      <c r="A6" s="190" t="s">
        <v>76</v>
      </c>
      <c r="B6" s="191"/>
      <c r="C6" s="191"/>
      <c r="D6" s="191"/>
      <c r="E6" s="191"/>
    </row>
    <row r="7" spans="1:9" ht="25" customHeight="1" x14ac:dyDescent="0.35">
      <c r="A7" s="192" t="s">
        <v>77</v>
      </c>
      <c r="B7" s="191"/>
      <c r="C7" s="191"/>
      <c r="D7" s="191"/>
      <c r="E7" s="191"/>
    </row>
    <row r="8" spans="1:9" ht="25" customHeight="1" x14ac:dyDescent="0.35">
      <c r="A8" s="192" t="s">
        <v>78</v>
      </c>
      <c r="B8" s="191"/>
      <c r="C8" s="191"/>
      <c r="D8" s="191"/>
      <c r="E8" s="191"/>
    </row>
    <row r="9" spans="1:9" ht="25" customHeight="1" x14ac:dyDescent="0.35">
      <c r="A9" s="192" t="s">
        <v>150</v>
      </c>
      <c r="B9" s="191"/>
      <c r="C9" s="191"/>
      <c r="D9" s="191"/>
      <c r="E9" s="191"/>
    </row>
    <row r="10" spans="1:9" ht="25" customHeight="1" thickBot="1" x14ac:dyDescent="0.4">
      <c r="A10" s="381" t="s">
        <v>35</v>
      </c>
      <c r="B10" s="382">
        <f>SUM(B6:B9)</f>
        <v>0</v>
      </c>
      <c r="C10" s="383">
        <f>SUM(C6:C9)</f>
        <v>0</v>
      </c>
      <c r="D10" s="383">
        <f>SUM(D6:D9)</f>
        <v>0</v>
      </c>
      <c r="E10" s="384">
        <f>SUM(E6:E9)</f>
        <v>0</v>
      </c>
    </row>
  </sheetData>
  <sheetProtection algorithmName="SHA-512" hashValue="BAyQs48uedECoGMYyTiqv8uBMLk/iYj65SEHh0F9JIWt0e/ANgXlAh12cE0ETnHs1QZFDQ6vSYd8/RId+K+8YQ==" saltValue="sjvpoaWfo4Ukatjne6qgtw==" spinCount="100000" sheet="1" objects="1" scenarios="1"/>
  <mergeCells count="4">
    <mergeCell ref="A1:E1"/>
    <mergeCell ref="C4:E4"/>
    <mergeCell ref="A2:E2"/>
    <mergeCell ref="A3:E3"/>
  </mergeCells>
  <phoneticPr fontId="3" type="noConversion"/>
  <printOptions horizontalCentered="1"/>
  <pageMargins left="0.75" right="0.75" top="1" bottom="1" header="0.5" footer="0.5"/>
  <pageSetup orientation="landscape" r:id="rId1"/>
  <headerFooter alignWithMargins="0"/>
  <colBreaks count="1" manualBreakCount="1">
    <brk id="5" max="1048575" man="1"/>
  </colBreaks>
  <ignoredErrors>
    <ignoredError sqref="C10:D1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00FF00"/>
  </sheetPr>
  <dimension ref="A1:M288"/>
  <sheetViews>
    <sheetView zoomScaleNormal="100" workbookViewId="0">
      <selection activeCell="A280" sqref="A280"/>
    </sheetView>
  </sheetViews>
  <sheetFormatPr defaultColWidth="9.1796875" defaultRowHeight="13" x14ac:dyDescent="0.3"/>
  <cols>
    <col min="1" max="1" width="9.1796875" style="6"/>
    <col min="2" max="2" width="12.54296875" style="6" customWidth="1"/>
    <col min="3" max="7" width="9.1796875" style="6"/>
    <col min="8" max="8" width="16.54296875" style="6" customWidth="1"/>
    <col min="9" max="9" width="9.1796875" style="6" customWidth="1"/>
    <col min="10" max="10" width="23" style="6" customWidth="1"/>
    <col min="11" max="11" width="9.1796875" style="6"/>
    <col min="12" max="12" width="18" style="6" customWidth="1"/>
    <col min="13" max="16384" width="9.1796875" style="6"/>
  </cols>
  <sheetData>
    <row r="1" spans="1:12" ht="21" x14ac:dyDescent="0.5">
      <c r="A1" s="495" t="str">
        <f>"FEHBP General Explanations for " &amp;year</f>
        <v>FEHBP General Explanations for 2021</v>
      </c>
      <c r="B1" s="495"/>
      <c r="C1" s="495"/>
      <c r="D1" s="495"/>
      <c r="E1" s="495"/>
      <c r="F1" s="495"/>
      <c r="G1" s="495"/>
      <c r="H1" s="495"/>
      <c r="I1" s="495"/>
      <c r="J1" s="495"/>
      <c r="K1" s="495"/>
      <c r="L1" s="495"/>
    </row>
    <row r="2" spans="1:12" s="60" customFormat="1" ht="12" x14ac:dyDescent="0.3">
      <c r="A2" s="496"/>
      <c r="B2" s="496"/>
      <c r="C2" s="496"/>
      <c r="D2" s="496"/>
      <c r="E2" s="496"/>
      <c r="F2" s="496"/>
      <c r="G2" s="496"/>
      <c r="H2" s="496"/>
      <c r="I2" s="496"/>
      <c r="J2" s="496"/>
      <c r="K2" s="496"/>
      <c r="L2" s="496"/>
    </row>
    <row r="3" spans="1:12" s="54" customFormat="1" ht="15" thickBot="1" x14ac:dyDescent="0.4">
      <c r="A3" s="193" t="s">
        <v>261</v>
      </c>
      <c r="B3" s="71"/>
      <c r="C3" s="71"/>
    </row>
    <row r="4" spans="1:12" s="54" customFormat="1" ht="14.5" x14ac:dyDescent="0.35"/>
    <row r="5" spans="1:12" s="54" customFormat="1" ht="14.5" x14ac:dyDescent="0.35">
      <c r="A5" s="54" t="s">
        <v>154</v>
      </c>
    </row>
    <row r="6" spans="1:12" s="54" customFormat="1" ht="14.5" x14ac:dyDescent="0.35">
      <c r="A6" s="54" t="s">
        <v>95</v>
      </c>
    </row>
    <row r="7" spans="1:12" s="54" customFormat="1" ht="14.5" x14ac:dyDescent="0.35"/>
    <row r="8" spans="1:12" s="54" customFormat="1" ht="15" thickBot="1" x14ac:dyDescent="0.4">
      <c r="A8" s="193" t="s">
        <v>262</v>
      </c>
      <c r="B8" s="71"/>
      <c r="C8" s="71"/>
    </row>
    <row r="9" spans="1:12" s="54" customFormat="1" ht="14.5" x14ac:dyDescent="0.35"/>
    <row r="10" spans="1:12" s="54" customFormat="1" ht="14.5" x14ac:dyDescent="0.35">
      <c r="A10" s="54" t="str">
        <f>"The "&amp;year-3&amp;" and "&amp;year-2&amp;" enrollments are adjusted by the Actual Premium Income.  Before entering the " &amp;year-1&amp; " enrollment, it is advisable to compare enrollment"</f>
        <v>The 2018 and 2019 enrollments are adjusted by the Actual Premium Income.  Before entering the 2020 enrollment, it is advisable to compare enrollment</v>
      </c>
    </row>
    <row r="11" spans="1:12" s="54" customFormat="1" ht="14.5" x14ac:dyDescent="0.35">
      <c r="A11" s="54" t="s">
        <v>96</v>
      </c>
    </row>
    <row r="12" spans="1:12" s="54" customFormat="1" ht="14.5" x14ac:dyDescent="0.35">
      <c r="A12" s="54" t="s">
        <v>97</v>
      </c>
    </row>
    <row r="13" spans="1:12" s="54" customFormat="1" ht="14.5" x14ac:dyDescent="0.35"/>
    <row r="14" spans="1:12" s="32" customFormat="1" ht="14.5" x14ac:dyDescent="0.35">
      <c r="A14" s="75" t="s">
        <v>98</v>
      </c>
      <c r="C14" s="75" t="s">
        <v>389</v>
      </c>
    </row>
    <row r="15" spans="1:12" s="54" customFormat="1" ht="14.5" x14ac:dyDescent="0.35">
      <c r="A15" s="75"/>
    </row>
    <row r="16" spans="1:12" s="54" customFormat="1" ht="14.5" x14ac:dyDescent="0.35">
      <c r="A16" s="75" t="s">
        <v>99</v>
      </c>
    </row>
    <row r="17" spans="1:12" s="54" customFormat="1" ht="14.5" x14ac:dyDescent="0.35"/>
    <row r="18" spans="1:12" s="202" customFormat="1" ht="15" thickBot="1" x14ac:dyDescent="0.4">
      <c r="A18" s="368" t="s">
        <v>263</v>
      </c>
      <c r="B18" s="368"/>
      <c r="C18" s="368"/>
    </row>
    <row r="19" spans="1:12" s="54" customFormat="1" ht="14.5" x14ac:dyDescent="0.35">
      <c r="A19" s="87"/>
      <c r="B19" s="87"/>
      <c r="C19" s="87"/>
    </row>
    <row r="20" spans="1:12" s="202" customFormat="1" ht="14.5" x14ac:dyDescent="0.35">
      <c r="A20" s="202" t="s">
        <v>205</v>
      </c>
    </row>
    <row r="21" spans="1:12" s="202" customFormat="1" ht="14.5" x14ac:dyDescent="0.35">
      <c r="A21" s="202" t="s">
        <v>377</v>
      </c>
    </row>
    <row r="22" spans="1:12" s="202" customFormat="1" ht="14.5" x14ac:dyDescent="0.35">
      <c r="A22" s="202" t="s">
        <v>378</v>
      </c>
    </row>
    <row r="23" spans="1:12" s="202" customFormat="1" ht="14.5" x14ac:dyDescent="0.35"/>
    <row r="24" spans="1:12" s="202" customFormat="1" ht="14.5" x14ac:dyDescent="0.35">
      <c r="A24" s="202" t="s">
        <v>372</v>
      </c>
    </row>
    <row r="25" spans="1:12" s="202" customFormat="1" ht="14.5" x14ac:dyDescent="0.35">
      <c r="A25" s="202" t="s">
        <v>374</v>
      </c>
    </row>
    <row r="26" spans="1:12" s="202" customFormat="1" ht="14.5" x14ac:dyDescent="0.35">
      <c r="A26" s="202" t="s">
        <v>376</v>
      </c>
    </row>
    <row r="27" spans="1:12" s="202" customFormat="1" ht="14.5" x14ac:dyDescent="0.35">
      <c r="A27" s="202" t="s">
        <v>373</v>
      </c>
    </row>
    <row r="28" spans="1:12" s="302" customFormat="1" ht="14.5" x14ac:dyDescent="0.35">
      <c r="A28" s="202"/>
      <c r="B28" s="202"/>
      <c r="C28" s="202"/>
      <c r="D28" s="202"/>
      <c r="E28" s="202"/>
      <c r="F28" s="202"/>
    </row>
    <row r="29" spans="1:12" s="302" customFormat="1" ht="15" customHeight="1" x14ac:dyDescent="0.3">
      <c r="A29" s="497" t="str">
        <f>"Question 3 helps estimate the enrollee contribution and the rate increase to the enrollee. The estimated government and enrollee contributions can be displayed as either biweekly or monthly. "&amp;"The non-Postal government contribution formula of 72% and 75% has already been input, but can be changed to make estimations for different contribution formulas. We do not know what the "&amp;year&amp;" maximum government contribution will be, but you can estimate the "&amp;year&amp;" maximum government contribution by estimating the increase to the "&amp;year-1&amp;" maximum government contribution."</f>
        <v>Question 3 helps estimate the enrollee contribution and the rate increase to the enrollee. The estimated government and enrollee contributions can be displayed as either biweekly or monthly. The non-Postal government contribution formula of 72% and 75% has already been input, but can be changed to make estimations for different contribution formulas. We do not know what the 2021 maximum government contribution will be, but you can estimate the 2021 maximum government contribution by estimating the increase to the 2020 maximum government contribution.</v>
      </c>
      <c r="B29" s="497"/>
      <c r="C29" s="497"/>
      <c r="D29" s="497"/>
      <c r="E29" s="497"/>
      <c r="F29" s="497"/>
      <c r="G29" s="497"/>
      <c r="H29" s="497"/>
      <c r="I29" s="497"/>
      <c r="J29" s="497"/>
      <c r="K29" s="497"/>
      <c r="L29" s="497"/>
    </row>
    <row r="30" spans="1:12" s="302" customFormat="1" ht="15" customHeight="1" x14ac:dyDescent="0.3">
      <c r="A30" s="497"/>
      <c r="B30" s="497"/>
      <c r="C30" s="497"/>
      <c r="D30" s="497"/>
      <c r="E30" s="497"/>
      <c r="F30" s="497"/>
      <c r="G30" s="497"/>
      <c r="H30" s="497"/>
      <c r="I30" s="497"/>
      <c r="J30" s="497"/>
      <c r="K30" s="497"/>
      <c r="L30" s="497"/>
    </row>
    <row r="31" spans="1:12" s="302" customFormat="1" ht="15" customHeight="1" x14ac:dyDescent="0.3">
      <c r="A31" s="497"/>
      <c r="B31" s="497"/>
      <c r="C31" s="497"/>
      <c r="D31" s="497"/>
      <c r="E31" s="497"/>
      <c r="F31" s="497"/>
      <c r="G31" s="497"/>
      <c r="H31" s="497"/>
      <c r="I31" s="497"/>
      <c r="J31" s="497"/>
      <c r="K31" s="497"/>
      <c r="L31" s="497"/>
    </row>
    <row r="32" spans="1:12" s="302" customFormat="1" ht="15" customHeight="1" x14ac:dyDescent="0.3">
      <c r="A32" s="497"/>
      <c r="B32" s="497"/>
      <c r="C32" s="497"/>
      <c r="D32" s="497"/>
      <c r="E32" s="497"/>
      <c r="F32" s="497"/>
      <c r="G32" s="497"/>
      <c r="H32" s="497"/>
      <c r="I32" s="497"/>
      <c r="J32" s="497"/>
      <c r="K32" s="497"/>
      <c r="L32" s="497"/>
    </row>
    <row r="33" spans="1:12" s="302" customFormat="1" ht="15" customHeight="1" x14ac:dyDescent="0.3">
      <c r="A33" s="497" t="s">
        <v>379</v>
      </c>
      <c r="B33" s="497"/>
      <c r="C33" s="497"/>
      <c r="D33" s="497"/>
      <c r="E33" s="497"/>
      <c r="F33" s="497"/>
      <c r="G33" s="497"/>
      <c r="H33" s="497"/>
      <c r="I33" s="497"/>
      <c r="J33" s="497"/>
      <c r="K33" s="497"/>
      <c r="L33" s="497"/>
    </row>
    <row r="34" spans="1:12" s="302" customFormat="1" ht="15" customHeight="1" x14ac:dyDescent="0.3">
      <c r="A34" s="497"/>
      <c r="B34" s="497"/>
      <c r="C34" s="497"/>
      <c r="D34" s="497"/>
      <c r="E34" s="497"/>
      <c r="F34" s="497"/>
      <c r="G34" s="497"/>
      <c r="H34" s="497"/>
      <c r="I34" s="497"/>
      <c r="J34" s="497"/>
      <c r="K34" s="497"/>
      <c r="L34" s="497"/>
    </row>
    <row r="35" spans="1:12" s="302" customFormat="1" ht="15" customHeight="1" x14ac:dyDescent="0.3">
      <c r="A35" s="497"/>
      <c r="B35" s="497"/>
      <c r="C35" s="497"/>
      <c r="D35" s="497"/>
      <c r="E35" s="497"/>
      <c r="F35" s="497"/>
      <c r="G35" s="497"/>
      <c r="H35" s="497"/>
      <c r="I35" s="497"/>
      <c r="J35" s="497"/>
      <c r="K35" s="497"/>
      <c r="L35" s="497"/>
    </row>
    <row r="36" spans="1:12" s="302" customFormat="1" ht="15" customHeight="1" x14ac:dyDescent="0.3">
      <c r="A36" s="367"/>
      <c r="B36" s="367"/>
      <c r="C36" s="367"/>
      <c r="D36" s="367"/>
      <c r="E36" s="367"/>
      <c r="F36" s="367"/>
      <c r="G36" s="367"/>
      <c r="H36" s="367"/>
      <c r="I36" s="367"/>
      <c r="J36" s="367"/>
      <c r="K36" s="367"/>
      <c r="L36" s="367"/>
    </row>
    <row r="37" spans="1:12" s="302" customFormat="1" ht="15" customHeight="1" x14ac:dyDescent="0.3">
      <c r="A37" s="499" t="s">
        <v>361</v>
      </c>
      <c r="B37" s="499"/>
      <c r="C37" s="499"/>
      <c r="D37" s="499"/>
      <c r="E37" s="499"/>
      <c r="F37" s="499"/>
      <c r="G37" s="499"/>
      <c r="H37" s="499"/>
      <c r="I37" s="499"/>
      <c r="J37" s="499"/>
      <c r="K37" s="499"/>
      <c r="L37" s="499"/>
    </row>
    <row r="38" spans="1:12" s="302" customFormat="1" ht="15" customHeight="1" x14ac:dyDescent="0.3">
      <c r="A38" s="499"/>
      <c r="B38" s="499"/>
      <c r="C38" s="499"/>
      <c r="D38" s="499"/>
      <c r="E38" s="499"/>
      <c r="F38" s="499"/>
      <c r="G38" s="499"/>
      <c r="H38" s="499"/>
      <c r="I38" s="499"/>
      <c r="J38" s="499"/>
      <c r="K38" s="499"/>
      <c r="L38" s="499"/>
    </row>
    <row r="39" spans="1:12" s="302" customFormat="1" ht="15" customHeight="1" x14ac:dyDescent="0.3">
      <c r="A39" s="334"/>
      <c r="B39" s="334"/>
      <c r="C39" s="334"/>
      <c r="D39" s="334"/>
      <c r="E39" s="334"/>
      <c r="F39" s="334"/>
      <c r="G39" s="334"/>
      <c r="H39" s="334"/>
      <c r="I39" s="334"/>
      <c r="J39" s="334"/>
      <c r="K39" s="334"/>
      <c r="L39" s="334"/>
    </row>
    <row r="40" spans="1:12" s="54" customFormat="1" ht="15" thickBot="1" x14ac:dyDescent="0.4">
      <c r="A40" s="193" t="s">
        <v>264</v>
      </c>
      <c r="B40" s="71"/>
      <c r="C40" s="71"/>
    </row>
    <row r="41" spans="1:12" s="54" customFormat="1" ht="14.5" x14ac:dyDescent="0.35"/>
    <row r="42" spans="1:12" s="54" customFormat="1" ht="14.5" x14ac:dyDescent="0.35">
      <c r="A42" s="54" t="s">
        <v>271</v>
      </c>
    </row>
    <row r="43" spans="1:12" s="54" customFormat="1" ht="14.5" x14ac:dyDescent="0.35"/>
    <row r="44" spans="1:12" s="202" customFormat="1" ht="14.5" x14ac:dyDescent="0.35">
      <c r="A44" s="202" t="s">
        <v>270</v>
      </c>
    </row>
    <row r="45" spans="1:12" s="202" customFormat="1" ht="14.5" x14ac:dyDescent="0.35">
      <c r="A45" s="202" t="s">
        <v>272</v>
      </c>
    </row>
    <row r="46" spans="1:12" s="54" customFormat="1" ht="14.5" x14ac:dyDescent="0.35"/>
    <row r="47" spans="1:12" s="54" customFormat="1" ht="14.5" x14ac:dyDescent="0.35">
      <c r="A47" s="54" t="s">
        <v>273</v>
      </c>
    </row>
    <row r="48" spans="1:12" s="54" customFormat="1" ht="14.5" x14ac:dyDescent="0.35">
      <c r="A48" s="54" t="s">
        <v>274</v>
      </c>
    </row>
    <row r="49" spans="1:3" s="54" customFormat="1" ht="14.5" x14ac:dyDescent="0.35"/>
    <row r="50" spans="1:3" s="54" customFormat="1" ht="15" thickBot="1" x14ac:dyDescent="0.4">
      <c r="A50" s="193" t="s">
        <v>265</v>
      </c>
      <c r="B50" s="71"/>
      <c r="C50" s="71"/>
    </row>
    <row r="51" spans="1:3" s="54" customFormat="1" ht="14.5" x14ac:dyDescent="0.35"/>
    <row r="52" spans="1:3" s="54" customFormat="1" ht="14.5" x14ac:dyDescent="0.35">
      <c r="A52" s="202" t="s">
        <v>193</v>
      </c>
    </row>
    <row r="53" spans="1:3" s="54" customFormat="1" ht="14.5" x14ac:dyDescent="0.35">
      <c r="A53" s="202" t="s">
        <v>275</v>
      </c>
    </row>
    <row r="54" spans="1:3" s="54" customFormat="1" ht="14.5" x14ac:dyDescent="0.35">
      <c r="A54" s="54" t="s">
        <v>276</v>
      </c>
    </row>
    <row r="55" spans="1:3" s="54" customFormat="1" ht="14.5" x14ac:dyDescent="0.35"/>
    <row r="56" spans="1:3" s="54" customFormat="1" ht="15" thickBot="1" x14ac:dyDescent="0.4">
      <c r="A56" s="193" t="s">
        <v>266</v>
      </c>
      <c r="B56" s="71"/>
      <c r="C56" s="71"/>
    </row>
    <row r="57" spans="1:3" s="54" customFormat="1" ht="14.5" x14ac:dyDescent="0.35"/>
    <row r="58" spans="1:3" s="54" customFormat="1" ht="14.5" x14ac:dyDescent="0.35">
      <c r="A58" s="54" t="s">
        <v>103</v>
      </c>
    </row>
    <row r="59" spans="1:3" s="54" customFormat="1" ht="14.5" x14ac:dyDescent="0.35">
      <c r="A59" s="54" t="s">
        <v>104</v>
      </c>
    </row>
    <row r="60" spans="1:3" s="54" customFormat="1" ht="14.5" x14ac:dyDescent="0.35">
      <c r="A60" s="54" t="s">
        <v>105</v>
      </c>
    </row>
    <row r="61" spans="1:3" s="54" customFormat="1" ht="14.5" x14ac:dyDescent="0.35">
      <c r="A61" s="54" t="s">
        <v>106</v>
      </c>
    </row>
    <row r="62" spans="1:3" s="54" customFormat="1" ht="14.5" x14ac:dyDescent="0.35"/>
    <row r="63" spans="1:3" s="54" customFormat="1" ht="15" thickBot="1" x14ac:dyDescent="0.4">
      <c r="A63" s="193" t="s">
        <v>267</v>
      </c>
      <c r="B63" s="193"/>
      <c r="C63" s="193"/>
    </row>
    <row r="64" spans="1:3" s="54" customFormat="1" ht="14.5" x14ac:dyDescent="0.35"/>
    <row r="65" spans="1:3" s="202" customFormat="1" ht="14.5" x14ac:dyDescent="0.35">
      <c r="A65" s="202" t="str">
        <f>"The first trend value will be used in Question 10 to check that it closely agrees with the trend value calculated using claims entered in Question 4. If the two values"</f>
        <v>The first trend value will be used in Question 10 to check that it closely agrees with the trend value calculated using claims entered in Question 4. If the two values</v>
      </c>
    </row>
    <row r="66" spans="1:3" s="202" customFormat="1" ht="14.5" x14ac:dyDescent="0.35">
      <c r="A66" s="202" t="str">
        <f>"do not closely agree, the "&amp;year-3&amp;" to "&amp;year-2&amp;" trend factor will need to be changed.  The second and third trend values are used to project claims."</f>
        <v>do not closely agree, the 2018 to 2019 trend factor will need to be changed.  The second and third trend values are used to project claims.</v>
      </c>
    </row>
    <row r="67" spans="1:3" s="54" customFormat="1" ht="14.5" x14ac:dyDescent="0.35"/>
    <row r="68" spans="1:3" s="54" customFormat="1" ht="15" thickBot="1" x14ac:dyDescent="0.4">
      <c r="A68" s="193" t="s">
        <v>268</v>
      </c>
      <c r="B68" s="71"/>
      <c r="C68" s="71"/>
    </row>
    <row r="69" spans="1:3" s="54" customFormat="1" ht="14.5" x14ac:dyDescent="0.35"/>
    <row r="70" spans="1:3" s="54" customFormat="1" ht="14.5" x14ac:dyDescent="0.35">
      <c r="A70" s="54" t="s">
        <v>109</v>
      </c>
    </row>
    <row r="71" spans="1:3" s="54" customFormat="1" ht="14.5" x14ac:dyDescent="0.35"/>
    <row r="72" spans="1:3" s="54" customFormat="1" ht="14.5" x14ac:dyDescent="0.35">
      <c r="A72" s="54" t="s">
        <v>178</v>
      </c>
    </row>
    <row r="73" spans="1:3" s="54" customFormat="1" ht="14.5" x14ac:dyDescent="0.35">
      <c r="A73" s="54" t="s">
        <v>110</v>
      </c>
    </row>
    <row r="74" spans="1:3" s="54" customFormat="1" ht="14.5" x14ac:dyDescent="0.35"/>
    <row r="75" spans="1:3" s="54" customFormat="1" ht="14.5" x14ac:dyDescent="0.35">
      <c r="A75" s="54" t="s">
        <v>111</v>
      </c>
    </row>
    <row r="76" spans="1:3" s="54" customFormat="1" ht="14.5" x14ac:dyDescent="0.35"/>
    <row r="77" spans="1:3" s="54" customFormat="1" ht="14.5" x14ac:dyDescent="0.35">
      <c r="A77" s="54" t="s">
        <v>112</v>
      </c>
    </row>
    <row r="78" spans="1:3" s="54" customFormat="1" ht="14.5" x14ac:dyDescent="0.35">
      <c r="A78" s="54" t="s">
        <v>113</v>
      </c>
    </row>
    <row r="79" spans="1:3" s="54" customFormat="1" ht="14.5" x14ac:dyDescent="0.35">
      <c r="A79" s="54" t="s">
        <v>114</v>
      </c>
    </row>
    <row r="80" spans="1:3" s="54" customFormat="1" ht="14.5" x14ac:dyDescent="0.35">
      <c r="A80" s="54" t="s">
        <v>115</v>
      </c>
    </row>
    <row r="81" spans="1:13" s="54" customFormat="1" ht="14.5" x14ac:dyDescent="0.35">
      <c r="A81" s="54" t="s">
        <v>116</v>
      </c>
    </row>
    <row r="82" spans="1:13" s="54" customFormat="1" ht="14.5" x14ac:dyDescent="0.35"/>
    <row r="83" spans="1:13" s="202" customFormat="1" ht="14.5" x14ac:dyDescent="0.35">
      <c r="A83" s="498" t="str">
        <f>"These factors represent expected population changes and the relative utilization of the people leaving and entering the plan compared to the existing population. For example, in the 'Rate Proposal - Example' from "&amp;year-1&amp;" to "&amp;year&amp;", the plan estimates a "&amp;(1-'Rate Proposal - Example'!G140)*100&amp;"% decrease in enrollment from people who cost "&amp;(1-'Rate Proposal - Example'!I140)*100&amp;"% less than the existing population, and estimates that the incoming enrollment costs "&amp;('Rate Proposal - Example'!H140-1)*100&amp;"% more than the existing population. To complete the selection table, the plan enters "&amp;'Rate Proposal - Example'!G140&amp;" as the Enrollment Decrease Factor (ED), "&amp;'Rate Proposal - Example'!I140&amp;" as the Relative Utilization of Enrollment Decreases (RUD), and "&amp;'Rate Proposal - Example'!H140&amp;" as the Relative Utilization of Enrollment Increases (RUI). The Enrollment Increase Factor (EI) will be calculated based on your overall enrollment increase (calculated in Question 5) and the Enrollment Decrease Factor (ED)."</f>
        <v>These factors represent expected population changes and the relative utilization of the people leaving and entering the plan compared to the existing population. For example, in the 'Rate Proposal - Example' from 2020 to 2021, the plan estimates a 10% decrease in enrollment from people who cost 15% less than the existing population, and estimates that the incoming enrollment costs 20% more than the existing population. To complete the selection table, the plan enters 0.9 as the Enrollment Decrease Factor (ED), 0.85 as the Relative Utilization of Enrollment Decreases (RUD), and 1.2 as the Relative Utilization of Enrollment Increases (RUI). The Enrollment Increase Factor (EI) will be calculated based on your overall enrollment increase (calculated in Question 5) and the Enrollment Decrease Factor (ED).</v>
      </c>
      <c r="B83" s="498"/>
      <c r="C83" s="498"/>
      <c r="D83" s="498"/>
      <c r="E83" s="498"/>
      <c r="F83" s="498"/>
      <c r="G83" s="498"/>
      <c r="H83" s="498"/>
      <c r="I83" s="498"/>
      <c r="J83" s="498"/>
      <c r="K83" s="498"/>
      <c r="L83" s="498"/>
      <c r="M83" s="498"/>
    </row>
    <row r="84" spans="1:13" s="202" customFormat="1" ht="14.5" x14ac:dyDescent="0.35">
      <c r="A84" s="498"/>
      <c r="B84" s="498"/>
      <c r="C84" s="498"/>
      <c r="D84" s="498"/>
      <c r="E84" s="498"/>
      <c r="F84" s="498"/>
      <c r="G84" s="498"/>
      <c r="H84" s="498"/>
      <c r="I84" s="498"/>
      <c r="J84" s="498"/>
      <c r="K84" s="498"/>
      <c r="L84" s="498"/>
      <c r="M84" s="498"/>
    </row>
    <row r="85" spans="1:13" s="202" customFormat="1" ht="14.5" x14ac:dyDescent="0.35">
      <c r="A85" s="498"/>
      <c r="B85" s="498"/>
      <c r="C85" s="498"/>
      <c r="D85" s="498"/>
      <c r="E85" s="498"/>
      <c r="F85" s="498"/>
      <c r="G85" s="498"/>
      <c r="H85" s="498"/>
      <c r="I85" s="498"/>
      <c r="J85" s="498"/>
      <c r="K85" s="498"/>
      <c r="L85" s="498"/>
      <c r="M85" s="498"/>
    </row>
    <row r="86" spans="1:13" s="202" customFormat="1" ht="14.5" x14ac:dyDescent="0.35">
      <c r="A86" s="498"/>
      <c r="B86" s="498"/>
      <c r="C86" s="498"/>
      <c r="D86" s="498"/>
      <c r="E86" s="498"/>
      <c r="F86" s="498"/>
      <c r="G86" s="498"/>
      <c r="H86" s="498"/>
      <c r="I86" s="498"/>
      <c r="J86" s="498"/>
      <c r="K86" s="498"/>
      <c r="L86" s="498"/>
      <c r="M86" s="498"/>
    </row>
    <row r="87" spans="1:13" s="202" customFormat="1" ht="14.5" x14ac:dyDescent="0.35">
      <c r="A87" s="498"/>
      <c r="B87" s="498"/>
      <c r="C87" s="498"/>
      <c r="D87" s="498"/>
      <c r="E87" s="498"/>
      <c r="F87" s="498"/>
      <c r="G87" s="498"/>
      <c r="H87" s="498"/>
      <c r="I87" s="498"/>
      <c r="J87" s="498"/>
      <c r="K87" s="498"/>
      <c r="L87" s="498"/>
      <c r="M87" s="498"/>
    </row>
    <row r="88" spans="1:13" s="54" customFormat="1" ht="14.5" x14ac:dyDescent="0.35"/>
    <row r="89" spans="1:13" s="54" customFormat="1" ht="15" thickBot="1" x14ac:dyDescent="0.4">
      <c r="A89" s="193" t="s">
        <v>100</v>
      </c>
      <c r="B89" s="71"/>
      <c r="C89" s="71"/>
    </row>
    <row r="90" spans="1:13" s="54" customFormat="1" ht="14.5" x14ac:dyDescent="0.35"/>
    <row r="91" spans="1:13" s="54" customFormat="1" ht="14.5" x14ac:dyDescent="0.35">
      <c r="A91" s="54" t="s">
        <v>118</v>
      </c>
    </row>
    <row r="92" spans="1:13" s="54" customFormat="1" ht="14.5" x14ac:dyDescent="0.35"/>
    <row r="93" spans="1:13" s="54" customFormat="1" ht="15" thickBot="1" x14ac:dyDescent="0.4">
      <c r="A93" s="193" t="s">
        <v>101</v>
      </c>
      <c r="B93" s="71"/>
      <c r="C93" s="71"/>
    </row>
    <row r="94" spans="1:13" s="54" customFormat="1" ht="14.5" x14ac:dyDescent="0.35"/>
    <row r="95" spans="1:13" s="54" customFormat="1" ht="14.5" x14ac:dyDescent="0.35">
      <c r="A95" s="54" t="s">
        <v>269</v>
      </c>
    </row>
    <row r="96" spans="1:13" s="54" customFormat="1" ht="14.5" x14ac:dyDescent="0.35"/>
    <row r="97" spans="1:7" s="54" customFormat="1" ht="15" thickBot="1" x14ac:dyDescent="0.4">
      <c r="A97" s="193" t="s">
        <v>102</v>
      </c>
      <c r="B97" s="71"/>
      <c r="C97" s="71"/>
    </row>
    <row r="98" spans="1:7" s="54" customFormat="1" ht="14.5" x14ac:dyDescent="0.35"/>
    <row r="99" spans="1:7" s="54" customFormat="1" ht="14.5" x14ac:dyDescent="0.35">
      <c r="A99" s="54" t="s">
        <v>390</v>
      </c>
    </row>
    <row r="100" spans="1:7" s="54" customFormat="1" ht="14.5" x14ac:dyDescent="0.35"/>
    <row r="101" spans="1:7" s="54" customFormat="1" ht="14.5" x14ac:dyDescent="0.35">
      <c r="A101" s="54" t="s">
        <v>277</v>
      </c>
      <c r="C101" s="102"/>
      <c r="D101" s="102"/>
      <c r="E101" s="102"/>
    </row>
    <row r="102" spans="1:7" s="54" customFormat="1" ht="14.5" x14ac:dyDescent="0.35">
      <c r="A102" s="54" t="s">
        <v>168</v>
      </c>
    </row>
    <row r="103" spans="1:7" s="54" customFormat="1" ht="14.5" x14ac:dyDescent="0.35"/>
    <row r="104" spans="1:7" s="54" customFormat="1" ht="14.5" x14ac:dyDescent="0.35">
      <c r="A104" s="54" t="s">
        <v>120</v>
      </c>
    </row>
    <row r="105" spans="1:7" s="54" customFormat="1" ht="14.5" x14ac:dyDescent="0.35"/>
    <row r="106" spans="1:7" s="54" customFormat="1" ht="15" thickBot="1" x14ac:dyDescent="0.4">
      <c r="A106" s="193" t="s">
        <v>107</v>
      </c>
      <c r="B106" s="71"/>
      <c r="C106" s="71"/>
    </row>
    <row r="107" spans="1:7" s="54" customFormat="1" ht="14.5" x14ac:dyDescent="0.35"/>
    <row r="108" spans="1:7" s="54" customFormat="1" ht="14.5" x14ac:dyDescent="0.35">
      <c r="A108" s="54" t="s">
        <v>121</v>
      </c>
    </row>
    <row r="109" spans="1:7" s="54" customFormat="1" ht="14.5" x14ac:dyDescent="0.35">
      <c r="A109" s="54" t="str">
        <f xml:space="preserve"> "(a) 12/31/" &amp;year-2&amp; " Accrued Reserve [from 11(c)]"</f>
        <v>(a) 12/31/2019 Accrued Reserve [from 11(c)]</v>
      </c>
      <c r="G109" s="54" t="s">
        <v>278</v>
      </c>
    </row>
    <row r="110" spans="1:7" s="54" customFormat="1" ht="14.5" x14ac:dyDescent="0.35">
      <c r="G110" s="54" t="s">
        <v>279</v>
      </c>
    </row>
    <row r="111" spans="1:7" s="54" customFormat="1" ht="14.5" x14ac:dyDescent="0.35">
      <c r="A111" s="54" t="str">
        <f>"(b) 12/31/" &amp;year-1&amp; " Estimated Accrued Reserve"</f>
        <v>(b) 12/31/2020 Estimated Accrued Reserve</v>
      </c>
      <c r="G111" s="54" t="s">
        <v>122</v>
      </c>
    </row>
    <row r="112" spans="1:7" s="54" customFormat="1" ht="14.5" x14ac:dyDescent="0.35">
      <c r="A112" s="54" t="str">
        <f>"    = " &amp;year-3&amp; " Incurred Claims *  ( 1 - P1 ) "</f>
        <v xml:space="preserve">    = 2018 Incurred Claims *  ( 1 - P1 ) </v>
      </c>
    </row>
    <row r="113" spans="1:3" s="54" customFormat="1" ht="14.5" x14ac:dyDescent="0.35">
      <c r="A113" s="54" t="str">
        <f>"    + " &amp;year-2&amp; " Incurred Claims *  ( 1 - P2 ) "</f>
        <v xml:space="preserve">    + 2019 Incurred Claims *  ( 1 - P2 ) </v>
      </c>
    </row>
    <row r="114" spans="1:3" s="54" customFormat="1" ht="14.5" x14ac:dyDescent="0.35">
      <c r="A114" s="54" t="str">
        <f>"    + " &amp;year-1&amp; " Incurred Claims *  ( 1 - P3 ) "</f>
        <v xml:space="preserve">    + 2020 Incurred Claims *  ( 1 - P3 ) </v>
      </c>
    </row>
    <row r="115" spans="1:3" s="54" customFormat="1" ht="14.5" x14ac:dyDescent="0.35"/>
    <row r="116" spans="1:3" s="54" customFormat="1" ht="14.5" x14ac:dyDescent="0.35">
      <c r="A116" s="54" t="str">
        <f>"(c) 12/31/" &amp;year&amp; " Estimated Accrued Reserve"</f>
        <v>(c) 12/31/2021 Estimated Accrued Reserve</v>
      </c>
    </row>
    <row r="117" spans="1:3" s="54" customFormat="1" ht="14.5" x14ac:dyDescent="0.35">
      <c r="A117" s="54" t="str">
        <f>"    = " &amp;year-2&amp; " Incurred Claims *  ( 1 - P1 ) "</f>
        <v xml:space="preserve">    = 2019 Incurred Claims *  ( 1 - P1 ) </v>
      </c>
    </row>
    <row r="118" spans="1:3" s="54" customFormat="1" ht="14.5" x14ac:dyDescent="0.35">
      <c r="A118" s="54" t="str">
        <f>"    + " &amp;year-1&amp; " Incurred Claims *  ( 1 - P2 ) "</f>
        <v xml:space="preserve">    + 2020 Incurred Claims *  ( 1 - P2 ) </v>
      </c>
    </row>
    <row r="119" spans="1:3" s="54" customFormat="1" ht="14.5" x14ac:dyDescent="0.35">
      <c r="A119" s="54" t="str">
        <f>"    + " &amp;year&amp; " Incurred Claims *  ( 1 - P3 ) "</f>
        <v xml:space="preserve">    + 2021 Incurred Claims *  ( 1 - P3 ) </v>
      </c>
    </row>
    <row r="120" spans="1:3" s="54" customFormat="1" ht="14.5" x14ac:dyDescent="0.35"/>
    <row r="121" spans="1:3" s="54" customFormat="1" ht="14.5" x14ac:dyDescent="0.35">
      <c r="A121" s="54" t="str">
        <f>"P1 = Portion of claims paid for " &amp;year-4&amp; " as of 12/31/" &amp;year-2</f>
        <v>P1 = Portion of claims paid for 2017 as of 12/31/2019</v>
      </c>
    </row>
    <row r="122" spans="1:3" s="54" customFormat="1" ht="14.5" x14ac:dyDescent="0.35">
      <c r="A122" s="54" t="str">
        <f>"P2 = Portion of claims paid for "&amp;year-3&amp;" as of 12/31/"&amp;year-2</f>
        <v>P2 = Portion of claims paid for 2018 as of 12/31/2019</v>
      </c>
    </row>
    <row r="123" spans="1:3" s="54" customFormat="1" ht="14.5" x14ac:dyDescent="0.35">
      <c r="A123" s="54" t="str">
        <f>"P3 = Portion of claims paid for " &amp;year-2&amp; " as of 12/31/" &amp;year-2</f>
        <v>P3 = Portion of claims paid for 2019 as of 12/31/2019</v>
      </c>
    </row>
    <row r="124" spans="1:3" s="54" customFormat="1" ht="14.5" x14ac:dyDescent="0.35"/>
    <row r="125" spans="1:3" s="54" customFormat="1" ht="15" thickBot="1" x14ac:dyDescent="0.4">
      <c r="A125" s="193" t="s">
        <v>108</v>
      </c>
      <c r="B125" s="71"/>
      <c r="C125" s="71"/>
    </row>
    <row r="126" spans="1:3" s="54" customFormat="1" ht="14.5" x14ac:dyDescent="0.35"/>
    <row r="127" spans="1:3" s="54" customFormat="1" ht="14.5" x14ac:dyDescent="0.35">
      <c r="A127" s="54" t="s">
        <v>280</v>
      </c>
    </row>
    <row r="128" spans="1:3" s="54" customFormat="1" ht="14.5" x14ac:dyDescent="0.35"/>
    <row r="129" spans="1:3" s="54" customFormat="1" ht="14.5" x14ac:dyDescent="0.35">
      <c r="A129" s="54" t="s">
        <v>155</v>
      </c>
    </row>
    <row r="130" spans="1:3" s="54" customFormat="1" ht="14.5" x14ac:dyDescent="0.35"/>
    <row r="131" spans="1:3" s="54" customFormat="1" ht="14.5" x14ac:dyDescent="0.35">
      <c r="A131" s="75" t="s">
        <v>123</v>
      </c>
    </row>
    <row r="132" spans="1:3" s="54" customFormat="1" ht="14.5" x14ac:dyDescent="0.35"/>
    <row r="133" spans="1:3" s="54" customFormat="1" ht="14.5" x14ac:dyDescent="0.35">
      <c r="A133" s="54" t="s">
        <v>281</v>
      </c>
    </row>
    <row r="134" spans="1:3" s="54" customFormat="1" ht="14.5" x14ac:dyDescent="0.35"/>
    <row r="135" spans="1:3" s="54" customFormat="1" ht="14.5" x14ac:dyDescent="0.35">
      <c r="A135" s="54" t="str">
        <f>"When calculating Administrative Incurred Expense for " &amp;year-2&amp; " ONLY, the Administrative Incurred Expense for " &amp;year-3&amp; " was assumed to equal the Administrative"</f>
        <v>When calculating Administrative Incurred Expense for 2019 ONLY, the Administrative Incurred Expense for 2018 was assumed to equal the Administrative</v>
      </c>
    </row>
    <row r="136" spans="1:3" s="54" customFormat="1" ht="14.5" x14ac:dyDescent="0.35">
      <c r="A136" s="54" t="str">
        <f>"Incurred Expense for "&amp;year-2&amp;" times the ratio of "&amp;year-3&amp;" to "&amp;year-2&amp;" Incurred Claims from Question 10."</f>
        <v>Incurred Expense for 2019 times the ratio of 2018 to 2019 Incurred Claims from Question 10.</v>
      </c>
    </row>
    <row r="137" spans="1:3" s="54" customFormat="1" ht="14.5" x14ac:dyDescent="0.35"/>
    <row r="138" spans="1:3" s="54" customFormat="1" ht="14.5" x14ac:dyDescent="0.35">
      <c r="A138" s="75" t="s">
        <v>124</v>
      </c>
    </row>
    <row r="139" spans="1:3" s="54" customFormat="1" ht="14.5" x14ac:dyDescent="0.35"/>
    <row r="140" spans="1:3" s="54" customFormat="1" ht="14.5" x14ac:dyDescent="0.35">
      <c r="A140" s="54" t="s">
        <v>282</v>
      </c>
    </row>
    <row r="141" spans="1:3" s="54" customFormat="1" ht="14.5" x14ac:dyDescent="0.35">
      <c r="A141" s="54" t="s">
        <v>125</v>
      </c>
    </row>
    <row r="142" spans="1:3" s="54" customFormat="1" ht="14.5" x14ac:dyDescent="0.35"/>
    <row r="143" spans="1:3" s="54" customFormat="1" ht="15" thickBot="1" x14ac:dyDescent="0.4">
      <c r="A143" s="193" t="s">
        <v>117</v>
      </c>
      <c r="B143" s="71"/>
      <c r="C143" s="71"/>
    </row>
    <row r="144" spans="1:3" s="54" customFormat="1" ht="14.5" x14ac:dyDescent="0.35"/>
    <row r="145" spans="1:3" s="54" customFormat="1" ht="14.5" x14ac:dyDescent="0.35">
      <c r="A145" s="54" t="str">
        <f>"(a) Contingency Reserve Balance at 12/31/" &amp;year-2&amp; " is supplied by the Office of Personnel Management."</f>
        <v>(a) Contingency Reserve Balance at 12/31/2019 is supplied by the Office of Personnel Management.</v>
      </c>
    </row>
    <row r="146" spans="1:3" s="54" customFormat="1" ht="14.5" x14ac:dyDescent="0.35"/>
    <row r="147" spans="1:3" s="54" customFormat="1" ht="15" thickBot="1" x14ac:dyDescent="0.4">
      <c r="A147" s="193" t="s">
        <v>283</v>
      </c>
      <c r="B147" s="71"/>
      <c r="C147" s="71"/>
    </row>
    <row r="148" spans="1:3" s="54" customFormat="1" ht="14.5" x14ac:dyDescent="0.35"/>
    <row r="149" spans="1:3" s="54" customFormat="1" ht="14.5" x14ac:dyDescent="0.35">
      <c r="A149" s="121" t="s">
        <v>126</v>
      </c>
    </row>
    <row r="150" spans="1:3" s="54" customFormat="1" ht="14.5" x14ac:dyDescent="0.35"/>
    <row r="151" spans="1:3" s="54" customFormat="1" ht="14.5" x14ac:dyDescent="0.35">
      <c r="A151" s="54" t="s">
        <v>179</v>
      </c>
    </row>
    <row r="152" spans="1:3" s="54" customFormat="1" ht="14.5" x14ac:dyDescent="0.35">
      <c r="A152" s="54" t="s">
        <v>24</v>
      </c>
    </row>
    <row r="153" spans="1:3" s="54" customFormat="1" ht="14.5" x14ac:dyDescent="0.35">
      <c r="A153" s="54" t="s">
        <v>180</v>
      </c>
    </row>
    <row r="154" spans="1:3" s="54" customFormat="1" ht="14.5" x14ac:dyDescent="0.35">
      <c r="A154" s="54" t="s">
        <v>181</v>
      </c>
    </row>
    <row r="155" spans="1:3" s="54" customFormat="1" ht="14.5" x14ac:dyDescent="0.35">
      <c r="A155" s="54" t="s">
        <v>182</v>
      </c>
    </row>
    <row r="156" spans="1:3" s="54" customFormat="1" ht="14.5" x14ac:dyDescent="0.35">
      <c r="A156" s="54" t="s">
        <v>183</v>
      </c>
    </row>
    <row r="157" spans="1:3" s="54" customFormat="1" ht="14.5" x14ac:dyDescent="0.35">
      <c r="A157" s="54" t="s">
        <v>184</v>
      </c>
    </row>
    <row r="158" spans="1:3" s="54" customFormat="1" ht="14.5" x14ac:dyDescent="0.35"/>
    <row r="159" spans="1:3" s="54" customFormat="1" ht="14.5" x14ac:dyDescent="0.35">
      <c r="A159" s="121" t="s">
        <v>127</v>
      </c>
    </row>
    <row r="160" spans="1:3" s="54" customFormat="1" ht="14.5" x14ac:dyDescent="0.35">
      <c r="C160" s="116"/>
    </row>
    <row r="161" spans="1:1" s="54" customFormat="1" ht="14.5" x14ac:dyDescent="0.35">
      <c r="A161" s="54" t="s">
        <v>23</v>
      </c>
    </row>
    <row r="162" spans="1:1" s="54" customFormat="1" ht="14.5" x14ac:dyDescent="0.35">
      <c r="A162" s="54" t="s">
        <v>166</v>
      </c>
    </row>
    <row r="163" spans="1:1" s="202" customFormat="1" ht="14.5" x14ac:dyDescent="0.35">
      <c r="A163" s="202" t="str">
        <f>"approximately "&amp;(0.04-OPMadmin)*100&amp;"% of the load is deposited into the CR.  The remaining "&amp;OPMadmin*100&amp;"% load is used for OPM administration."</f>
        <v>approximately 3.9% of the load is deposited into the CR.  The remaining 0.1% load is used for OPM administration.</v>
      </c>
    </row>
    <row r="164" spans="1:1" s="202" customFormat="1" ht="14.5" x14ac:dyDescent="0.35"/>
    <row r="165" spans="1:1" s="54" customFormat="1" ht="14.5" x14ac:dyDescent="0.35">
      <c r="A165" s="54" t="s">
        <v>375</v>
      </c>
    </row>
    <row r="166" spans="1:1" s="54" customFormat="1" ht="14.5" x14ac:dyDescent="0.35">
      <c r="A166" s="54" t="s">
        <v>128</v>
      </c>
    </row>
    <row r="167" spans="1:1" s="54" customFormat="1" ht="14.5" x14ac:dyDescent="0.35"/>
    <row r="168" spans="1:1" s="54" customFormat="1" ht="14.5" x14ac:dyDescent="0.35">
      <c r="A168" s="121" t="s">
        <v>129</v>
      </c>
    </row>
    <row r="169" spans="1:1" s="54" customFormat="1" ht="14.5" x14ac:dyDescent="0.35"/>
    <row r="170" spans="1:1" s="54" customFormat="1" ht="14.5" x14ac:dyDescent="0.35">
      <c r="A170" s="54" t="s">
        <v>391</v>
      </c>
    </row>
    <row r="171" spans="1:1" s="54" customFormat="1" ht="14.5" x14ac:dyDescent="0.35">
      <c r="A171" s="54" t="s">
        <v>393</v>
      </c>
    </row>
    <row r="172" spans="1:1" s="54" customFormat="1" ht="14.5" x14ac:dyDescent="0.35">
      <c r="A172" s="54" t="s">
        <v>392</v>
      </c>
    </row>
    <row r="173" spans="1:1" s="54" customFormat="1" ht="14.5" x14ac:dyDescent="0.35">
      <c r="A173" s="54" t="s">
        <v>156</v>
      </c>
    </row>
    <row r="174" spans="1:1" s="54" customFormat="1" ht="14.5" x14ac:dyDescent="0.35">
      <c r="A174" s="54" t="s">
        <v>25</v>
      </c>
    </row>
    <row r="175" spans="1:1" s="54" customFormat="1" ht="14.5" x14ac:dyDescent="0.35"/>
    <row r="176" spans="1:1" s="54" customFormat="1" ht="14.5" x14ac:dyDescent="0.35">
      <c r="A176" s="121" t="s">
        <v>130</v>
      </c>
    </row>
    <row r="177" spans="1:3" s="54" customFormat="1" ht="14.5" x14ac:dyDescent="0.35"/>
    <row r="178" spans="1:3" s="54" customFormat="1" ht="14.5" x14ac:dyDescent="0.35">
      <c r="A178" s="54" t="s">
        <v>396</v>
      </c>
    </row>
    <row r="179" spans="1:3" s="54" customFormat="1" ht="14.5" x14ac:dyDescent="0.35">
      <c r="A179" s="54" t="s">
        <v>146</v>
      </c>
    </row>
    <row r="180" spans="1:3" s="54" customFormat="1" ht="14.5" x14ac:dyDescent="0.35"/>
    <row r="181" spans="1:3" s="54" customFormat="1" ht="14.5" x14ac:dyDescent="0.35">
      <c r="A181" s="121" t="s">
        <v>131</v>
      </c>
    </row>
    <row r="182" spans="1:3" s="54" customFormat="1" ht="14.5" x14ac:dyDescent="0.35"/>
    <row r="183" spans="1:3" s="54" customFormat="1" ht="14.5" x14ac:dyDescent="0.35">
      <c r="A183" s="54" t="s">
        <v>163</v>
      </c>
    </row>
    <row r="184" spans="1:3" s="54" customFormat="1" ht="14.5" x14ac:dyDescent="0.35"/>
    <row r="185" spans="1:3" s="54" customFormat="1" ht="14.5" x14ac:dyDescent="0.35">
      <c r="A185" s="75" t="s">
        <v>162</v>
      </c>
    </row>
    <row r="186" spans="1:3" s="54" customFormat="1" ht="14.5" x14ac:dyDescent="0.35"/>
    <row r="187" spans="1:3" s="54" customFormat="1" ht="14.5" x14ac:dyDescent="0.35">
      <c r="A187" s="54" t="s">
        <v>164</v>
      </c>
    </row>
    <row r="188" spans="1:3" s="202" customFormat="1" ht="14.5" x14ac:dyDescent="0.35">
      <c r="A188" s="202" t="s">
        <v>187</v>
      </c>
    </row>
    <row r="189" spans="1:3" s="54" customFormat="1" ht="14.5" x14ac:dyDescent="0.35"/>
    <row r="190" spans="1:3" s="54" customFormat="1" ht="14.5" x14ac:dyDescent="0.35">
      <c r="A190" s="75" t="str">
        <f>"Estimated paid claims = Present year's incurred claims x Most recent year's portion of claims as of 12/31/" &amp;year-2&amp; " + Previous Year's Incurred Claims "</f>
        <v xml:space="preserve">Estimated paid claims = Present year's incurred claims x Most recent year's portion of claims as of 12/31/2019 + Previous Year's Incurred Claims </v>
      </c>
    </row>
    <row r="191" spans="1:3" s="54" customFormat="1" ht="14.5" x14ac:dyDescent="0.35">
      <c r="C191" s="75" t="str">
        <f>"x (1- Most recent year's portion of claims as of 12/31/" &amp;year-2&amp;")"</f>
        <v>x (1- Most recent year's portion of claims as of 12/31/2019)</v>
      </c>
    </row>
    <row r="192" spans="1:3" s="54" customFormat="1" ht="14.5" x14ac:dyDescent="0.35"/>
    <row r="193" spans="1:3" s="54" customFormat="1" ht="15" thickBot="1" x14ac:dyDescent="0.4">
      <c r="A193" s="193" t="s">
        <v>284</v>
      </c>
      <c r="B193" s="71"/>
      <c r="C193" s="71"/>
    </row>
    <row r="194" spans="1:3" s="54" customFormat="1" ht="14.5" x14ac:dyDescent="0.35"/>
    <row r="195" spans="1:3" s="54" customFormat="1" ht="14.5" x14ac:dyDescent="0.35">
      <c r="A195" s="54" t="s">
        <v>286</v>
      </c>
    </row>
    <row r="196" spans="1:3" s="54" customFormat="1" ht="14.5" x14ac:dyDescent="0.35"/>
    <row r="197" spans="1:3" s="54" customFormat="1" ht="14.5" x14ac:dyDescent="0.35">
      <c r="A197" s="54" t="s">
        <v>285</v>
      </c>
    </row>
    <row r="198" spans="1:3" s="54" customFormat="1" ht="14.5" x14ac:dyDescent="0.35"/>
    <row r="199" spans="1:3" s="54" customFormat="1" ht="14.5" x14ac:dyDescent="0.35">
      <c r="A199" s="54" t="s">
        <v>287</v>
      </c>
    </row>
    <row r="200" spans="1:3" s="54" customFormat="1" ht="14.5" x14ac:dyDescent="0.35"/>
    <row r="201" spans="1:3" s="54" customFormat="1" ht="14.5" x14ac:dyDescent="0.35">
      <c r="A201" s="54" t="s">
        <v>132</v>
      </c>
    </row>
    <row r="202" spans="1:3" s="54" customFormat="1" ht="14.5" x14ac:dyDescent="0.35"/>
    <row r="203" spans="1:3" s="54" customFormat="1" ht="14.5" x14ac:dyDescent="0.35">
      <c r="A203" s="54" t="s">
        <v>133</v>
      </c>
    </row>
    <row r="204" spans="1:3" s="54" customFormat="1" ht="14.5" x14ac:dyDescent="0.35"/>
    <row r="205" spans="1:3" s="54" customFormat="1" ht="14.5" x14ac:dyDescent="0.35">
      <c r="A205" s="54" t="str">
        <f>"(6) Accrued Claims Reserve + Accrued Administrative Expense Reserve + Special Reserve 12/31/" &amp;year-2&amp; " : [11(c) + 11(e) + 11(g)]"</f>
        <v>(6) Accrued Claims Reserve + Accrued Administrative Expense Reserve + Special Reserve 12/31/2019 : [11(c) + 11(e) + 11(g)]</v>
      </c>
    </row>
    <row r="206" spans="1:3" s="54" customFormat="1" ht="14.5" x14ac:dyDescent="0.35"/>
    <row r="207" spans="1:3" s="54" customFormat="1" ht="14.5" x14ac:dyDescent="0.35">
      <c r="A207" s="54" t="str">
        <f>"(7) " &amp;year-1&amp; " Contingency Reserve Payment"</f>
        <v>(7) 2020 Contingency Reserve Payment</v>
      </c>
    </row>
    <row r="208" spans="1:3" s="54" customFormat="1" ht="14.5" x14ac:dyDescent="0.35">
      <c r="A208" s="54" t="s">
        <v>134</v>
      </c>
    </row>
    <row r="209" spans="1:6" s="54" customFormat="1" ht="14.5" x14ac:dyDescent="0.35">
      <c r="A209" s="54" t="s">
        <v>135</v>
      </c>
    </row>
    <row r="210" spans="1:6" s="54" customFormat="1" ht="14.5" x14ac:dyDescent="0.35">
      <c r="A210" s="54" t="s">
        <v>136</v>
      </c>
    </row>
    <row r="211" spans="1:6" s="54" customFormat="1" ht="14.5" x14ac:dyDescent="0.35">
      <c r="A211" s="54" t="s">
        <v>137</v>
      </c>
    </row>
    <row r="212" spans="1:6" s="54" customFormat="1" ht="14.5" x14ac:dyDescent="0.35">
      <c r="A212" s="54" t="s">
        <v>159</v>
      </c>
    </row>
    <row r="213" spans="1:6" s="54" customFormat="1" ht="14.5" x14ac:dyDescent="0.35">
      <c r="A213" s="54" t="s">
        <v>288</v>
      </c>
    </row>
    <row r="214" spans="1:6" s="54" customFormat="1" ht="14.5" x14ac:dyDescent="0.35"/>
    <row r="215" spans="1:6" s="202" customFormat="1" ht="14.5" x14ac:dyDescent="0.35">
      <c r="A215" s="202" t="str">
        <f>"(8) Payments to Contingency Reserve Fund During " &amp;year-1&amp; " : Approximately "&amp;(0.04-OPMadmin)*100&amp;"% of premium income"</f>
        <v>(8) Payments to Contingency Reserve Fund During 2020 : Approximately 3.9% of premium income</v>
      </c>
    </row>
    <row r="216" spans="1:6" s="54" customFormat="1" ht="14.5" x14ac:dyDescent="0.35"/>
    <row r="217" spans="1:6" s="54" customFormat="1" ht="14.5" x14ac:dyDescent="0.35">
      <c r="A217" s="54" t="str">
        <f>"(9) Interest on Contingency Reserve Fund During " &amp;year-1</f>
        <v>(9) Interest on Contingency Reserve Fund During 2020</v>
      </c>
    </row>
    <row r="218" spans="1:6" s="54" customFormat="1" ht="14.5" x14ac:dyDescent="0.35">
      <c r="A218" s="54" t="s">
        <v>138</v>
      </c>
    </row>
    <row r="219" spans="1:6" s="202" customFormat="1" ht="14.5" x14ac:dyDescent="0.35">
      <c r="A219" s="202" t="s">
        <v>188</v>
      </c>
      <c r="F219" s="202" t="s">
        <v>139</v>
      </c>
    </row>
    <row r="220" spans="1:6" s="202" customFormat="1" ht="14.5" x14ac:dyDescent="0.35">
      <c r="A220" s="202" t="s">
        <v>189</v>
      </c>
      <c r="F220" s="202" t="s">
        <v>140</v>
      </c>
    </row>
    <row r="221" spans="1:6" s="54" customFormat="1" ht="14.5" x14ac:dyDescent="0.35">
      <c r="F221" s="54" t="str">
        <f>"           PCR = " &amp;year-1&amp; " Payments to Contingency Reserve"</f>
        <v xml:space="preserve">           PCR = 2020 Payments to Contingency Reserve</v>
      </c>
    </row>
    <row r="222" spans="1:6" s="54" customFormat="1" ht="14.5" x14ac:dyDescent="0.35">
      <c r="F222" s="54" t="str">
        <f>"           CRP = " &amp;year-1&amp; " Contingency Reserve Payment to Plan"</f>
        <v xml:space="preserve">           CRP = 2020 Contingency Reserve Payment to Plan</v>
      </c>
    </row>
    <row r="223" spans="1:6" s="54" customFormat="1" ht="14.5" x14ac:dyDescent="0.35"/>
    <row r="224" spans="1:6" s="54" customFormat="1" ht="14.5" x14ac:dyDescent="0.35"/>
    <row r="225" spans="1:11" s="202" customFormat="1" ht="14.5" x14ac:dyDescent="0.35">
      <c r="A225" s="202" t="str">
        <f>"     We have estimated the Contingency Reserve Interest Rate to be "&amp;FIXED(Yr1CR*100,2)&amp;"% for "&amp;year-1&amp;"."</f>
        <v xml:space="preserve">     We have estimated the Contingency Reserve Interest Rate to be 1.60% for 2020.</v>
      </c>
    </row>
    <row r="226" spans="1:11" s="54" customFormat="1" ht="14.5" x14ac:dyDescent="0.35">
      <c r="A226" s="54" t="s">
        <v>288</v>
      </c>
    </row>
    <row r="227" spans="1:11" s="54" customFormat="1" ht="14.5" x14ac:dyDescent="0.35">
      <c r="A227" s="54" t="s">
        <v>157</v>
      </c>
    </row>
    <row r="228" spans="1:11" s="54" customFormat="1" ht="14.5" x14ac:dyDescent="0.35">
      <c r="A228" s="54" t="s">
        <v>141</v>
      </c>
    </row>
    <row r="229" spans="1:11" s="54" customFormat="1" ht="14.5" x14ac:dyDescent="0.35"/>
    <row r="230" spans="1:11" s="54" customFormat="1" ht="14.5" x14ac:dyDescent="0.35">
      <c r="A230" s="54" t="str">
        <f>"(10) Contingency Reserve Balance 12/31/" &amp;year-1&amp; ": (1) + (8) + (9) - (7)"</f>
        <v>(10) Contingency Reserve Balance 12/31/2020: (1) + (8) + (9) - (7)</v>
      </c>
    </row>
    <row r="231" spans="1:11" s="54" customFormat="1" ht="14.5" x14ac:dyDescent="0.35"/>
    <row r="232" spans="1:11" s="54" customFormat="1" ht="15" thickBot="1" x14ac:dyDescent="0.4">
      <c r="A232" s="193" t="s">
        <v>289</v>
      </c>
      <c r="B232" s="71"/>
      <c r="C232" s="71"/>
    </row>
    <row r="233" spans="1:11" s="54" customFormat="1" ht="14.5" x14ac:dyDescent="0.35"/>
    <row r="234" spans="1:11" s="54" customFormat="1" ht="14.5" x14ac:dyDescent="0.35">
      <c r="A234" s="54" t="s">
        <v>290</v>
      </c>
    </row>
    <row r="235" spans="1:11" s="54" customFormat="1" ht="14.5" x14ac:dyDescent="0.35">
      <c r="K235" s="404"/>
    </row>
    <row r="236" spans="1:11" s="54" customFormat="1" ht="14.5" x14ac:dyDescent="0.35">
      <c r="A236" s="54" t="s">
        <v>300</v>
      </c>
    </row>
    <row r="237" spans="1:11" s="54" customFormat="1" ht="14.5" x14ac:dyDescent="0.35"/>
    <row r="238" spans="1:11" s="54" customFormat="1" ht="14.5" x14ac:dyDescent="0.35">
      <c r="A238" s="54" t="s">
        <v>301</v>
      </c>
    </row>
    <row r="239" spans="1:11" s="54" customFormat="1" ht="14.5" x14ac:dyDescent="0.35"/>
    <row r="240" spans="1:11" s="54" customFormat="1" ht="14.5" x14ac:dyDescent="0.35">
      <c r="A240" s="54" t="s">
        <v>302</v>
      </c>
    </row>
    <row r="241" spans="1:3" s="54" customFormat="1" ht="14.5" x14ac:dyDescent="0.35"/>
    <row r="242" spans="1:3" s="54" customFormat="1" ht="14.5" x14ac:dyDescent="0.35">
      <c r="A242" s="75" t="s">
        <v>142</v>
      </c>
    </row>
    <row r="243" spans="1:3" s="54" customFormat="1" ht="14.5" x14ac:dyDescent="0.35">
      <c r="A243" s="54" t="s">
        <v>303</v>
      </c>
    </row>
    <row r="244" spans="1:3" s="54" customFormat="1" ht="14.5" x14ac:dyDescent="0.35"/>
    <row r="245" spans="1:3" s="54" customFormat="1" ht="14.5" x14ac:dyDescent="0.35">
      <c r="A245" s="54" t="s">
        <v>304</v>
      </c>
    </row>
    <row r="246" spans="1:3" s="54" customFormat="1" ht="14.5" x14ac:dyDescent="0.35"/>
    <row r="247" spans="1:3" s="202" customFormat="1" ht="14.5" x14ac:dyDescent="0.35">
      <c r="A247" s="202" t="str">
        <f>"(7) " &amp;year-1&amp; " Average Investment Balance: (1) - (2) +  .25 * (3) + { 0.5 * [(4) - (5) - (6)] }"</f>
        <v>(7) 2020 Average Investment Balance: (1) - (2) +  .25 * (3) + { 0.5 * [(4) - (5) - (6)] }</v>
      </c>
    </row>
    <row r="248" spans="1:3" s="202" customFormat="1" ht="14.5" x14ac:dyDescent="0.35">
      <c r="A248" s="202" t="s">
        <v>186</v>
      </c>
    </row>
    <row r="249" spans="1:3" s="54" customFormat="1" ht="14.5" x14ac:dyDescent="0.35"/>
    <row r="250" spans="1:3" s="54" customFormat="1" ht="14.5" x14ac:dyDescent="0.35">
      <c r="A250" s="54" t="str">
        <f>"(8) " &amp;year-1&amp; " Interest Plus Investment Income:  LOC Interest Rate * (7)"</f>
        <v>(8) 2020 Interest Plus Investment Income:  LOC Interest Rate * (7)</v>
      </c>
    </row>
    <row r="251" spans="1:3" s="202" customFormat="1" ht="14.5" x14ac:dyDescent="0.35">
      <c r="A251" s="202" t="str">
        <f>"     We have estimated the LOC Interest Rate to be "&amp;FIXED(Yr1LOC*100,2)&amp;"% for "&amp;year-1&amp;"."</f>
        <v xml:space="preserve">     We have estimated the LOC Interest Rate to be 0.05% for 2020.</v>
      </c>
    </row>
    <row r="252" spans="1:3" s="54" customFormat="1" ht="14.5" x14ac:dyDescent="0.35"/>
    <row r="253" spans="1:3" s="54" customFormat="1" ht="15" thickBot="1" x14ac:dyDescent="0.4">
      <c r="A253" s="193" t="s">
        <v>317</v>
      </c>
      <c r="B253" s="71"/>
      <c r="C253" s="71"/>
    </row>
    <row r="254" spans="1:3" s="54" customFormat="1" ht="14.5" x14ac:dyDescent="0.35"/>
    <row r="255" spans="1:3" s="54" customFormat="1" ht="14.5" x14ac:dyDescent="0.35">
      <c r="A255" s="54" t="s">
        <v>305</v>
      </c>
    </row>
    <row r="256" spans="1:3" s="54" customFormat="1" ht="14.5" x14ac:dyDescent="0.35">
      <c r="A256" s="54" t="s">
        <v>306</v>
      </c>
    </row>
    <row r="257" spans="1:3" s="54" customFormat="1" ht="14.5" x14ac:dyDescent="0.35">
      <c r="A257" s="54" t="s">
        <v>307</v>
      </c>
    </row>
    <row r="258" spans="1:3" s="54" customFormat="1" ht="14.5" x14ac:dyDescent="0.35">
      <c r="A258" s="54" t="s">
        <v>340</v>
      </c>
    </row>
    <row r="259" spans="1:3" s="54" customFormat="1" ht="14.5" x14ac:dyDescent="0.35"/>
    <row r="260" spans="1:3" s="54" customFormat="1" ht="14.5" x14ac:dyDescent="0.35">
      <c r="A260" s="54" t="s">
        <v>308</v>
      </c>
    </row>
    <row r="261" spans="1:3" s="54" customFormat="1" ht="14.5" x14ac:dyDescent="0.35">
      <c r="A261" s="54" t="s">
        <v>309</v>
      </c>
    </row>
    <row r="262" spans="1:3" s="54" customFormat="1" ht="14.5" x14ac:dyDescent="0.35">
      <c r="A262" s="54" t="s">
        <v>143</v>
      </c>
    </row>
    <row r="263" spans="1:3" s="54" customFormat="1" ht="14.5" x14ac:dyDescent="0.35"/>
    <row r="264" spans="1:3" s="54" customFormat="1" ht="14.5" x14ac:dyDescent="0.35">
      <c r="A264" s="54" t="s">
        <v>310</v>
      </c>
    </row>
    <row r="265" spans="1:3" s="54" customFormat="1" ht="14.5" x14ac:dyDescent="0.35"/>
    <row r="266" spans="1:3" s="54" customFormat="1" ht="14.5" x14ac:dyDescent="0.35">
      <c r="A266" s="54" t="s">
        <v>311</v>
      </c>
    </row>
    <row r="267" spans="1:3" s="54" customFormat="1" ht="14.5" x14ac:dyDescent="0.35">
      <c r="A267" s="54" t="s">
        <v>312</v>
      </c>
    </row>
    <row r="268" spans="1:3" s="54" customFormat="1" ht="14.5" x14ac:dyDescent="0.35"/>
    <row r="269" spans="1:3" s="54" customFormat="1" ht="15" thickBot="1" x14ac:dyDescent="0.4">
      <c r="A269" s="193" t="s">
        <v>119</v>
      </c>
      <c r="B269" s="71"/>
      <c r="C269" s="71"/>
    </row>
    <row r="270" spans="1:3" s="54" customFormat="1" ht="14.5" x14ac:dyDescent="0.35"/>
    <row r="271" spans="1:3" s="54" customFormat="1" ht="14.5" x14ac:dyDescent="0.35">
      <c r="A271" s="54" t="s">
        <v>320</v>
      </c>
    </row>
    <row r="272" spans="1:3" s="54" customFormat="1" ht="14.5" x14ac:dyDescent="0.35"/>
    <row r="273" spans="1:1" s="54" customFormat="1" ht="14.5" x14ac:dyDescent="0.35">
      <c r="A273" s="54" t="s">
        <v>318</v>
      </c>
    </row>
    <row r="274" spans="1:1" s="54" customFormat="1" ht="14.5" x14ac:dyDescent="0.35">
      <c r="A274" s="54" t="str">
        <f>"(2) Estimated Claims Paid during the Last 6 Months of " &amp;year-1&amp; ": Use the product of " &amp;year-2&amp; " Claims from 15(a)(2) and the Percentage Change from"</f>
        <v>(2) Estimated Claims Paid during the Last 6 Months of 2020: Use the product of 2019 Claims from 15(a)(2) and the Percentage Change from</v>
      </c>
    </row>
    <row r="275" spans="1:1" s="54" customFormat="1" ht="14.5" x14ac:dyDescent="0.35">
      <c r="A275" s="54" t="str">
        <f>"    " &amp;year-2&amp; " Incurred Claims to " &amp;year-1&amp; " Incurred Claims (item 10)."</f>
        <v xml:space="preserve">    2019 Incurred Claims to 2020 Incurred Claims (item 10).</v>
      </c>
    </row>
    <row r="276" spans="1:1" s="54" customFormat="1" ht="14.5" x14ac:dyDescent="0.35"/>
    <row r="277" spans="1:1" s="54" customFormat="1" ht="14.5" x14ac:dyDescent="0.35">
      <c r="A277" s="54" t="str">
        <f>"(6) Accrued Claims Reserve + Accrued Administrative Expense Reserve + Special Reserve 12/31/" &amp;year-1&amp; " : [12(b) + 13(b) + 15(c)(4)(b)]"</f>
        <v>(6) Accrued Claims Reserve + Accrued Administrative Expense Reserve + Special Reserve 12/31/2020 : [12(b) + 13(b) + 15(c)(4)(b)]</v>
      </c>
    </row>
    <row r="278" spans="1:1" s="54" customFormat="1" ht="14.5" x14ac:dyDescent="0.35"/>
    <row r="279" spans="1:1" s="54" customFormat="1" ht="14.5" x14ac:dyDescent="0.35">
      <c r="A279" s="54" t="str">
        <f>"(9) Interest on Contingency Reserve Fund During "&amp;year</f>
        <v>(9) Interest on Contingency Reserve Fund During 2021</v>
      </c>
    </row>
    <row r="280" spans="1:1" s="202" customFormat="1" ht="14.5" x14ac:dyDescent="0.35">
      <c r="A280" s="202" t="str">
        <f>"      We have estimated the Contingency Reserve Interest Rate to be "&amp;FIXED(Yr2CR*100,2)&amp;"% for "&amp;year&amp;"."</f>
        <v xml:space="preserve">      We have estimated the Contingency Reserve Interest Rate to be 1.60% for 2021.</v>
      </c>
    </row>
    <row r="281" spans="1:1" s="54" customFormat="1" ht="14.5" x14ac:dyDescent="0.35"/>
    <row r="282" spans="1:1" s="54" customFormat="1" ht="14.5" x14ac:dyDescent="0.35">
      <c r="A282" s="54" t="s">
        <v>319</v>
      </c>
    </row>
    <row r="283" spans="1:1" s="54" customFormat="1" ht="14.5" x14ac:dyDescent="0.35">
      <c r="A283" s="54" t="str">
        <f>"(8) "&amp;year&amp;" Interest Plus Investment Income:  LOC Interest Rate * (7)"</f>
        <v>(8) 2021 Interest Plus Investment Income:  LOC Interest Rate * (7)</v>
      </c>
    </row>
    <row r="284" spans="1:1" s="202" customFormat="1" ht="14.5" x14ac:dyDescent="0.35">
      <c r="A284" s="202" t="str">
        <f>"      We have estimated the LOC Interest Rate to be "&amp;FIXED(Yr2LOC*100,2)&amp;"% for "&amp;year&amp;"."</f>
        <v xml:space="preserve">      We have estimated the LOC Interest Rate to be 0.05% for 2021.</v>
      </c>
    </row>
    <row r="285" spans="1:1" s="54" customFormat="1" ht="14.5" x14ac:dyDescent="0.35"/>
    <row r="286" spans="1:1" s="54" customFormat="1" ht="14.5" x14ac:dyDescent="0.35"/>
    <row r="287" spans="1:1" s="54" customFormat="1" ht="14.5" x14ac:dyDescent="0.35"/>
    <row r="288" spans="1:1" s="54" customFormat="1" ht="14.5" x14ac:dyDescent="0.35"/>
  </sheetData>
  <sheetProtection algorithmName="SHA-512" hashValue="AqjjEIZ5prUNMDDzi8ztq49e0hGyLNziP317DKGgcdi5EhccstwNxiaTotJIyc7hp5Zj+AmeHQ/XLKgrTaYxDw==" saltValue="EYsOf6FoKuj9ep3Ylo6Uqg==" spinCount="100000" sheet="1" objects="1" scenarios="1"/>
  <mergeCells count="6">
    <mergeCell ref="A1:L1"/>
    <mergeCell ref="A2:L2"/>
    <mergeCell ref="A29:L32"/>
    <mergeCell ref="A83:M87"/>
    <mergeCell ref="A37:L38"/>
    <mergeCell ref="A33:L35"/>
  </mergeCells>
  <phoneticPr fontId="3" type="noConversion"/>
  <pageMargins left="0.7" right="0.7" top="0.75" bottom="0.75" header="0.3" footer="0.3"/>
  <pageSetup scale="52" orientation="portrait" r:id="rId1"/>
  <headerFooter alignWithMargins="0">
    <oddFooter>&amp;C&amp;P</oddFooter>
  </headerFooter>
  <rowBreaks count="3" manualBreakCount="3">
    <brk id="88" max="12" man="1"/>
    <brk id="146" max="12" man="1"/>
    <brk id="231"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tabColor rgb="FF00FF00"/>
  </sheetPr>
  <dimension ref="A1:W282"/>
  <sheetViews>
    <sheetView zoomScaleNormal="100" workbookViewId="0">
      <selection activeCell="C44" sqref="C44"/>
    </sheetView>
  </sheetViews>
  <sheetFormatPr defaultColWidth="9.1796875" defaultRowHeight="10.5" x14ac:dyDescent="0.25"/>
  <cols>
    <col min="1" max="1" width="17.453125" style="4" customWidth="1"/>
    <col min="2" max="4" width="16.7265625" style="4" customWidth="1"/>
    <col min="5" max="5" width="17.54296875" style="4" customWidth="1"/>
    <col min="6" max="9" width="16.7265625" style="4" customWidth="1"/>
    <col min="10" max="10" width="6.81640625" style="4" customWidth="1"/>
    <col min="11" max="11" width="9.1796875" style="211" customWidth="1"/>
    <col min="12" max="18" width="9.1796875" style="4" customWidth="1"/>
    <col min="19" max="21" width="9.1796875" style="4" hidden="1" customWidth="1"/>
    <col min="22" max="22" width="8.1796875" style="4" customWidth="1"/>
    <col min="23" max="16384" width="9.1796875" style="4"/>
  </cols>
  <sheetData>
    <row r="1" spans="1:23" ht="18.5" x14ac:dyDescent="0.45">
      <c r="A1" s="500" t="s">
        <v>171</v>
      </c>
      <c r="B1" s="500"/>
      <c r="C1" s="500"/>
      <c r="D1" s="500"/>
      <c r="E1" s="500"/>
      <c r="F1" s="500"/>
      <c r="G1" s="500"/>
      <c r="H1" s="500"/>
      <c r="I1" s="500"/>
      <c r="J1" s="500"/>
      <c r="K1" s="500"/>
      <c r="S1" s="7" t="s">
        <v>76</v>
      </c>
      <c r="T1" s="7">
        <f>CHOOSE(MATCH(E205,S1:S13,0),1,2,3,4,5,6,7,8,9,10,11,12,13)</f>
        <v>13</v>
      </c>
      <c r="U1" s="7" t="b">
        <f>IF(AND(T1&gt;12,T2&gt;12,T3&gt;12),TRUE,FALSE)</f>
        <v>1</v>
      </c>
      <c r="W1" s="227"/>
    </row>
    <row r="2" spans="1:23" ht="15.75" customHeight="1" x14ac:dyDescent="0.35">
      <c r="A2" s="501" t="str">
        <f>"Our Health Plan High Option - ZZ1, ZZ3, ZZ2"</f>
        <v>Our Health Plan High Option - ZZ1, ZZ3, ZZ2</v>
      </c>
      <c r="B2" s="501"/>
      <c r="C2" s="501"/>
      <c r="D2" s="501"/>
      <c r="E2" s="501"/>
      <c r="F2" s="501"/>
      <c r="G2" s="501"/>
      <c r="H2" s="501"/>
      <c r="I2" s="501"/>
      <c r="J2" s="501"/>
      <c r="K2" s="501"/>
      <c r="S2" s="7" t="s">
        <v>77</v>
      </c>
      <c r="T2" s="7">
        <f>CHOOSE(MATCH(E207,S1:S13,0),1,2,3,4,5,6,7,8,9,10,11,12,13)</f>
        <v>13</v>
      </c>
      <c r="U2" s="7"/>
    </row>
    <row r="3" spans="1:23" ht="15.75" customHeight="1" x14ac:dyDescent="0.35">
      <c r="A3" s="7"/>
      <c r="B3" s="7"/>
      <c r="C3" s="7"/>
      <c r="D3" s="7"/>
      <c r="E3" s="7"/>
      <c r="F3" s="7"/>
      <c r="G3" s="7"/>
      <c r="H3" s="7"/>
      <c r="I3" s="7"/>
      <c r="J3" s="7"/>
      <c r="L3" s="265"/>
      <c r="S3" s="7" t="s">
        <v>78</v>
      </c>
      <c r="T3" s="7">
        <f>CHOOSE(MATCH(E209,S1:S13,0),1,2,3,4,5,6,7,8,9,10,11,12,13)</f>
        <v>13</v>
      </c>
      <c r="U3" s="7"/>
    </row>
    <row r="4" spans="1:23" ht="14.5" x14ac:dyDescent="0.35">
      <c r="A4" s="9" t="s">
        <v>208</v>
      </c>
      <c r="B4" s="7"/>
      <c r="C4" s="7"/>
      <c r="D4" s="7"/>
      <c r="E4" s="7"/>
      <c r="F4" s="7"/>
      <c r="G4" s="7"/>
      <c r="H4" s="7"/>
      <c r="I4" s="7"/>
      <c r="J4" s="7"/>
      <c r="L4" s="265"/>
      <c r="S4" s="7" t="s">
        <v>79</v>
      </c>
      <c r="T4" s="7">
        <f>CHOOSE(MATCH(E211,S1:S13,0),1,2,3,4,5,6,7,8,9,10,11,12,13)</f>
        <v>13</v>
      </c>
      <c r="U4" s="7" t="b">
        <f>IF(AND(T4&gt;12,T5&gt;12,T6&gt;12),TRUE,FALSE)</f>
        <v>1</v>
      </c>
    </row>
    <row r="5" spans="1:23" ht="15" thickBot="1" x14ac:dyDescent="0.4">
      <c r="A5" s="7"/>
      <c r="B5" s="7"/>
      <c r="C5" s="7"/>
      <c r="D5" s="502" t="str">
        <f>year-3 &amp; " Accounting Statement"</f>
        <v>2018 Accounting Statement</v>
      </c>
      <c r="E5" s="502"/>
      <c r="F5" s="502"/>
      <c r="G5" s="10"/>
      <c r="H5" s="503" t="str">
        <f>year-2 &amp; " Accounting Statement"</f>
        <v>2019 Accounting Statement</v>
      </c>
      <c r="I5" s="502"/>
      <c r="J5" s="502"/>
      <c r="L5" s="265"/>
      <c r="S5" s="7" t="s">
        <v>80</v>
      </c>
      <c r="T5" s="7">
        <f>CHOOSE(MATCH(E213,S1:S13,0),1,2,3,4,5,6,7,8,9,10,11,12,13)</f>
        <v>13</v>
      </c>
      <c r="U5" s="7"/>
    </row>
    <row r="6" spans="1:23" ht="15" thickTop="1" x14ac:dyDescent="0.35">
      <c r="A6" s="7"/>
      <c r="B6" s="9" t="s">
        <v>291</v>
      </c>
      <c r="C6" s="7"/>
      <c r="D6" s="7"/>
      <c r="E6" s="7"/>
      <c r="F6" s="7"/>
      <c r="G6" s="11"/>
      <c r="H6" s="11"/>
      <c r="I6" s="12"/>
      <c r="J6" s="12"/>
      <c r="S6" s="7" t="s">
        <v>81</v>
      </c>
      <c r="T6" s="7">
        <f>CHOOSE(MATCH(E215,S1:S13,0),1,2,3,4,5,6,7,8,9,10,11,12,13)</f>
        <v>13</v>
      </c>
      <c r="U6" s="7"/>
    </row>
    <row r="7" spans="1:23" ht="15" thickBot="1" x14ac:dyDescent="0.4">
      <c r="A7" s="7"/>
      <c r="B7" s="9" t="s">
        <v>292</v>
      </c>
      <c r="C7" s="7"/>
      <c r="D7" s="7"/>
      <c r="E7" s="7"/>
      <c r="F7" s="7"/>
      <c r="G7" s="11"/>
      <c r="H7" s="11"/>
      <c r="I7" s="12"/>
      <c r="J7" s="12"/>
      <c r="S7" s="7" t="s">
        <v>82</v>
      </c>
      <c r="T7" s="7"/>
      <c r="U7" s="7"/>
    </row>
    <row r="8" spans="1:23" ht="15" thickBot="1" x14ac:dyDescent="0.4">
      <c r="A8" s="7"/>
      <c r="B8" s="7" t="s">
        <v>296</v>
      </c>
      <c r="C8" s="7"/>
      <c r="D8" s="7"/>
      <c r="E8" s="13">
        <v>465000000</v>
      </c>
      <c r="F8" s="14"/>
      <c r="G8" s="11"/>
      <c r="H8" s="11"/>
      <c r="I8" s="13">
        <v>500000000</v>
      </c>
      <c r="J8" s="14"/>
      <c r="S8" s="7" t="s">
        <v>83</v>
      </c>
      <c r="T8" s="7"/>
      <c r="U8" s="7"/>
    </row>
    <row r="9" spans="1:23" ht="15" thickBot="1" x14ac:dyDescent="0.4">
      <c r="A9" s="7"/>
      <c r="B9" s="7" t="s">
        <v>297</v>
      </c>
      <c r="C9" s="7"/>
      <c r="D9" s="7"/>
      <c r="E9" s="13">
        <v>1000000</v>
      </c>
      <c r="F9" s="14"/>
      <c r="G9" s="11"/>
      <c r="H9" s="11"/>
      <c r="I9" s="13">
        <v>1000500</v>
      </c>
      <c r="J9" s="14"/>
      <c r="S9" s="7" t="s">
        <v>84</v>
      </c>
      <c r="T9" s="7"/>
      <c r="U9" s="7"/>
    </row>
    <row r="10" spans="1:23" ht="15" thickBot="1" x14ac:dyDescent="0.4">
      <c r="A10" s="7"/>
      <c r="B10" s="9" t="s">
        <v>293</v>
      </c>
      <c r="C10" s="7"/>
      <c r="D10" s="7"/>
      <c r="E10" s="7"/>
      <c r="F10" s="7"/>
      <c r="G10" s="11"/>
      <c r="H10" s="11"/>
      <c r="I10" s="12"/>
      <c r="J10" s="12"/>
      <c r="S10" s="7" t="s">
        <v>85</v>
      </c>
      <c r="T10" s="7"/>
      <c r="U10" s="7"/>
    </row>
    <row r="11" spans="1:23" ht="15" thickBot="1" x14ac:dyDescent="0.4">
      <c r="A11" s="7"/>
      <c r="B11" s="7" t="s">
        <v>296</v>
      </c>
      <c r="C11" s="7"/>
      <c r="D11" s="7"/>
      <c r="E11" s="13">
        <v>38000000</v>
      </c>
      <c r="F11" s="14"/>
      <c r="G11" s="11"/>
      <c r="H11" s="11"/>
      <c r="I11" s="15">
        <v>38500000</v>
      </c>
      <c r="J11" s="12"/>
      <c r="S11" s="7" t="s">
        <v>86</v>
      </c>
      <c r="T11" s="7"/>
      <c r="U11" s="7"/>
    </row>
    <row r="12" spans="1:23" ht="15" thickBot="1" x14ac:dyDescent="0.4">
      <c r="A12" s="7"/>
      <c r="B12" s="7" t="s">
        <v>297</v>
      </c>
      <c r="C12" s="7"/>
      <c r="D12" s="7"/>
      <c r="E12" s="13">
        <v>100000</v>
      </c>
      <c r="F12" s="14"/>
      <c r="G12" s="11"/>
      <c r="H12" s="11"/>
      <c r="I12" s="15">
        <v>70000</v>
      </c>
      <c r="J12" s="12"/>
      <c r="S12" s="7" t="s">
        <v>87</v>
      </c>
      <c r="T12" s="7"/>
      <c r="U12" s="7"/>
    </row>
    <row r="13" spans="1:23" ht="15" thickBot="1" x14ac:dyDescent="0.4">
      <c r="A13" s="7"/>
      <c r="B13" s="9" t="s">
        <v>294</v>
      </c>
      <c r="C13" s="7"/>
      <c r="D13" s="7"/>
      <c r="E13" s="7"/>
      <c r="F13" s="7"/>
      <c r="G13" s="11"/>
      <c r="H13" s="11"/>
      <c r="I13" s="12"/>
      <c r="J13" s="12"/>
      <c r="S13" s="7" t="s">
        <v>75</v>
      </c>
      <c r="T13" s="7"/>
      <c r="U13" s="7"/>
    </row>
    <row r="14" spans="1:23" ht="15" thickBot="1" x14ac:dyDescent="0.4">
      <c r="A14" s="7"/>
      <c r="B14" s="7" t="s">
        <v>296</v>
      </c>
      <c r="C14" s="7"/>
      <c r="D14" s="7"/>
      <c r="E14" s="15">
        <v>38500000</v>
      </c>
      <c r="F14" s="7"/>
      <c r="G14" s="11"/>
      <c r="H14" s="11"/>
      <c r="I14" s="15">
        <v>41000000</v>
      </c>
      <c r="J14" s="12"/>
    </row>
    <row r="15" spans="1:23" ht="15" thickBot="1" x14ac:dyDescent="0.4">
      <c r="A15" s="7"/>
      <c r="B15" s="7" t="s">
        <v>297</v>
      </c>
      <c r="C15" s="7"/>
      <c r="D15" s="7"/>
      <c r="E15" s="15">
        <v>70000</v>
      </c>
      <c r="F15" s="7"/>
      <c r="G15" s="11"/>
      <c r="H15" s="11"/>
      <c r="I15" s="15">
        <v>60000</v>
      </c>
      <c r="J15" s="12"/>
    </row>
    <row r="16" spans="1:23" ht="15" thickBot="1" x14ac:dyDescent="0.4">
      <c r="A16" s="7"/>
      <c r="B16" s="9" t="s">
        <v>295</v>
      </c>
      <c r="C16" s="7"/>
      <c r="D16" s="7"/>
      <c r="E16" s="15">
        <v>500000</v>
      </c>
      <c r="F16" s="7"/>
      <c r="G16" s="11"/>
      <c r="H16" s="11"/>
      <c r="I16" s="15">
        <v>300000</v>
      </c>
      <c r="J16" s="12"/>
    </row>
    <row r="17" spans="1:18" ht="15" thickBot="1" x14ac:dyDescent="0.4">
      <c r="A17" s="7"/>
      <c r="B17" s="7"/>
      <c r="C17" s="7"/>
      <c r="D17" s="7"/>
      <c r="E17" s="7"/>
      <c r="F17" s="7"/>
      <c r="G17" s="11"/>
      <c r="H17" s="11"/>
      <c r="I17" s="12"/>
      <c r="J17" s="12"/>
    </row>
    <row r="18" spans="1:18" ht="15" thickBot="1" x14ac:dyDescent="0.4">
      <c r="A18" s="7"/>
      <c r="B18" s="9" t="s">
        <v>298</v>
      </c>
      <c r="C18" s="7"/>
      <c r="D18" s="7"/>
      <c r="E18" s="7"/>
      <c r="F18" s="7"/>
      <c r="G18" s="11"/>
      <c r="H18" s="11"/>
      <c r="I18" s="15">
        <v>20000000</v>
      </c>
      <c r="J18" s="12"/>
    </row>
    <row r="19" spans="1:18" ht="15" thickBot="1" x14ac:dyDescent="0.4">
      <c r="A19" s="7"/>
      <c r="B19" s="7"/>
      <c r="C19" s="7"/>
      <c r="D19" s="7"/>
      <c r="E19" s="7"/>
      <c r="F19" s="7"/>
      <c r="G19" s="11"/>
      <c r="H19" s="11"/>
      <c r="I19" s="12"/>
      <c r="J19" s="12"/>
    </row>
    <row r="20" spans="1:18" ht="15" thickBot="1" x14ac:dyDescent="0.4">
      <c r="A20" s="7"/>
      <c r="B20" s="9" t="s">
        <v>299</v>
      </c>
      <c r="C20" s="7"/>
      <c r="D20" s="7"/>
      <c r="E20" s="7"/>
      <c r="F20" s="7"/>
      <c r="G20" s="11"/>
      <c r="H20" s="11"/>
      <c r="I20" s="15">
        <v>0</v>
      </c>
      <c r="J20" s="12"/>
    </row>
    <row r="21" spans="1:18" ht="14.5" x14ac:dyDescent="0.35">
      <c r="A21" s="7"/>
      <c r="B21" s="7"/>
      <c r="C21" s="7"/>
      <c r="D21" s="7"/>
      <c r="E21" s="7"/>
      <c r="F21" s="7"/>
      <c r="G21" s="7"/>
      <c r="H21" s="7"/>
      <c r="I21" s="7"/>
      <c r="J21" s="7"/>
    </row>
    <row r="22" spans="1:18" ht="14.5" x14ac:dyDescent="0.35">
      <c r="A22" s="9" t="str">
        <f>"2. Reconcile your " &amp; year-3 &amp; " and " &amp; year-2 &amp; " Premium Income"</f>
        <v>2. Reconcile your 2018 and 2019 Premium Income</v>
      </c>
      <c r="B22" s="7"/>
      <c r="C22" s="7"/>
      <c r="D22" s="7"/>
      <c r="E22" s="7"/>
      <c r="F22" s="7"/>
      <c r="G22" s="7"/>
      <c r="H22" s="7"/>
      <c r="I22" s="7"/>
      <c r="J22" s="7"/>
    </row>
    <row r="23" spans="1:18" ht="14.5" x14ac:dyDescent="0.35">
      <c r="A23" s="7"/>
      <c r="B23" s="7"/>
      <c r="C23" s="7"/>
      <c r="D23" s="7"/>
      <c r="E23" s="7"/>
      <c r="F23" s="7"/>
      <c r="G23" s="7"/>
      <c r="H23" s="7"/>
      <c r="I23" s="7"/>
      <c r="J23" s="7"/>
    </row>
    <row r="24" spans="1:18" ht="14.5" x14ac:dyDescent="0.35">
      <c r="A24" s="7"/>
      <c r="B24" s="7"/>
      <c r="C24" s="16" t="s">
        <v>26</v>
      </c>
      <c r="D24" s="16" t="s">
        <v>74</v>
      </c>
      <c r="E24" s="7"/>
      <c r="F24" s="505" t="s">
        <v>29</v>
      </c>
      <c r="G24" s="505"/>
      <c r="H24" s="16" t="s">
        <v>32</v>
      </c>
      <c r="I24" s="504"/>
      <c r="J24" s="504"/>
    </row>
    <row r="25" spans="1:18" ht="14.5" x14ac:dyDescent="0.35">
      <c r="A25" s="7"/>
      <c r="B25" s="7"/>
      <c r="C25" s="370" t="s">
        <v>27</v>
      </c>
      <c r="D25" s="370" t="s">
        <v>28</v>
      </c>
      <c r="E25" s="7"/>
      <c r="F25" s="17" t="s">
        <v>30</v>
      </c>
      <c r="G25" s="17" t="s">
        <v>31</v>
      </c>
      <c r="H25" s="371" t="s">
        <v>28</v>
      </c>
      <c r="I25" s="370"/>
      <c r="J25" s="370"/>
    </row>
    <row r="26" spans="1:18" ht="3" customHeight="1" thickBot="1" x14ac:dyDescent="0.4">
      <c r="A26" s="7"/>
      <c r="B26" s="7"/>
      <c r="C26" s="370"/>
      <c r="D26" s="370"/>
      <c r="E26" s="7"/>
      <c r="F26" s="370"/>
      <c r="G26" s="370"/>
      <c r="H26" s="370"/>
      <c r="I26" s="12"/>
      <c r="J26" s="12"/>
    </row>
    <row r="27" spans="1:18" ht="15" thickBot="1" x14ac:dyDescent="0.4">
      <c r="A27" s="9" t="str">
        <f>year - 3 &amp; ":"</f>
        <v>2018:</v>
      </c>
      <c r="B27" s="7" t="s">
        <v>33</v>
      </c>
      <c r="C27" s="18">
        <v>120</v>
      </c>
      <c r="D27" s="19">
        <v>44500</v>
      </c>
      <c r="E27" s="20" t="s">
        <v>36</v>
      </c>
      <c r="F27" s="21">
        <f>$C27*26*$D27</f>
        <v>138840000</v>
      </c>
      <c r="G27" s="7"/>
      <c r="H27" s="27">
        <f>ROUND($D27*($G$30/$F$30),0)</f>
        <v>44659</v>
      </c>
      <c r="I27" s="12"/>
      <c r="J27" s="12"/>
    </row>
    <row r="28" spans="1:18" ht="15" thickBot="1" x14ac:dyDescent="0.4">
      <c r="A28" s="9"/>
      <c r="B28" s="7" t="s">
        <v>190</v>
      </c>
      <c r="C28" s="18">
        <v>250</v>
      </c>
      <c r="D28" s="19">
        <v>24000</v>
      </c>
      <c r="E28" s="20" t="s">
        <v>36</v>
      </c>
      <c r="F28" s="21">
        <f>$C28*26*$D28</f>
        <v>156000000</v>
      </c>
      <c r="G28" s="7"/>
      <c r="H28" s="27">
        <f>ROUND($D28*($G$30/$F$30),0)</f>
        <v>24086</v>
      </c>
      <c r="I28" s="12"/>
      <c r="J28" s="12"/>
    </row>
    <row r="29" spans="1:18" ht="15" thickBot="1" x14ac:dyDescent="0.4">
      <c r="A29" s="7"/>
      <c r="B29" s="7" t="s">
        <v>34</v>
      </c>
      <c r="C29" s="18">
        <v>260</v>
      </c>
      <c r="D29" s="19">
        <v>25000</v>
      </c>
      <c r="E29" s="20" t="s">
        <v>36</v>
      </c>
      <c r="F29" s="22">
        <f>$C29*26*$D29</f>
        <v>169000000</v>
      </c>
      <c r="G29" s="23"/>
      <c r="H29" s="28">
        <f>ROUND($D29*($G$30/$F$30),0)</f>
        <v>25089</v>
      </c>
      <c r="I29" s="12"/>
      <c r="J29" s="12"/>
    </row>
    <row r="30" spans="1:18" ht="14.5" x14ac:dyDescent="0.35">
      <c r="A30" s="7"/>
      <c r="B30" s="9" t="s">
        <v>35</v>
      </c>
      <c r="C30" s="7"/>
      <c r="D30" s="24">
        <f>SUM(D27:D29)</f>
        <v>93500</v>
      </c>
      <c r="E30" s="20"/>
      <c r="F30" s="25">
        <f>SUM(F27:F29)</f>
        <v>463840000</v>
      </c>
      <c r="G30" s="26">
        <f>E8-E11+E14</f>
        <v>465500000</v>
      </c>
      <c r="H30" s="24">
        <f>SUM(H27:H29)</f>
        <v>93834</v>
      </c>
      <c r="I30" s="12"/>
      <c r="J30" s="12"/>
      <c r="R30" s="205"/>
    </row>
    <row r="31" spans="1:18" ht="3" customHeight="1" thickBot="1" x14ac:dyDescent="0.4">
      <c r="A31" s="7"/>
      <c r="B31" s="7"/>
      <c r="C31" s="7"/>
      <c r="D31" s="7"/>
      <c r="E31" s="20"/>
      <c r="F31" s="7"/>
      <c r="G31" s="7"/>
      <c r="H31" s="7"/>
      <c r="I31" s="266"/>
      <c r="J31" s="266"/>
      <c r="K31" s="270"/>
      <c r="L31" s="205"/>
      <c r="M31" s="205"/>
      <c r="N31" s="205"/>
      <c r="O31" s="205"/>
      <c r="P31" s="205"/>
      <c r="Q31" s="205"/>
      <c r="R31" s="205"/>
    </row>
    <row r="32" spans="1:18" ht="15" thickBot="1" x14ac:dyDescent="0.4">
      <c r="A32" s="9" t="str">
        <f>year - 2 &amp; ":"</f>
        <v>2019:</v>
      </c>
      <c r="B32" s="7" t="s">
        <v>33</v>
      </c>
      <c r="C32" s="18">
        <v>130</v>
      </c>
      <c r="D32" s="19">
        <v>45000</v>
      </c>
      <c r="E32" s="20" t="s">
        <v>37</v>
      </c>
      <c r="F32" s="21">
        <f>$C32*26*$D32</f>
        <v>152100000</v>
      </c>
      <c r="G32" s="7"/>
      <c r="H32" s="27">
        <f>ROUND($D32*($G$35/$F$35),0)</f>
        <v>44900</v>
      </c>
      <c r="I32" s="267"/>
      <c r="J32" s="267"/>
      <c r="K32" s="270"/>
      <c r="L32" s="205"/>
      <c r="M32" s="205"/>
      <c r="N32" s="205"/>
      <c r="O32" s="205"/>
      <c r="P32" s="205"/>
      <c r="Q32" s="205"/>
      <c r="R32" s="205"/>
    </row>
    <row r="33" spans="1:18" ht="15" thickBot="1" x14ac:dyDescent="0.4">
      <c r="A33" s="9"/>
      <c r="B33" s="7" t="s">
        <v>190</v>
      </c>
      <c r="C33" s="18">
        <v>260</v>
      </c>
      <c r="D33" s="19">
        <v>25000</v>
      </c>
      <c r="E33" s="20" t="s">
        <v>37</v>
      </c>
      <c r="F33" s="21">
        <f>$C33*26*$D33</f>
        <v>169000000</v>
      </c>
      <c r="G33" s="7"/>
      <c r="H33" s="27">
        <f>ROUND($D33*($G$35/$F$35),0)</f>
        <v>24944</v>
      </c>
      <c r="I33" s="267"/>
      <c r="J33" s="267"/>
      <c r="K33" s="270"/>
      <c r="L33" s="205"/>
      <c r="M33" s="205"/>
      <c r="N33" s="205"/>
      <c r="O33" s="205"/>
      <c r="P33" s="205"/>
      <c r="Q33" s="205"/>
      <c r="R33" s="205"/>
    </row>
    <row r="34" spans="1:18" ht="15" thickBot="1" x14ac:dyDescent="0.4">
      <c r="A34" s="7"/>
      <c r="B34" s="7" t="s">
        <v>34</v>
      </c>
      <c r="C34" s="18">
        <v>270</v>
      </c>
      <c r="D34" s="19">
        <v>26000</v>
      </c>
      <c r="E34" s="20" t="s">
        <v>37</v>
      </c>
      <c r="F34" s="22">
        <f>$C34*26*$D34</f>
        <v>182520000</v>
      </c>
      <c r="G34" s="23"/>
      <c r="H34" s="28">
        <f>ROUND($D34*($G$35/$F$35),0)</f>
        <v>25942</v>
      </c>
      <c r="I34" s="267"/>
      <c r="J34" s="267"/>
      <c r="K34" s="270"/>
      <c r="L34" s="205"/>
      <c r="M34" s="205"/>
      <c r="N34" s="205"/>
      <c r="O34" s="205"/>
      <c r="P34" s="205"/>
      <c r="Q34" s="205"/>
      <c r="R34" s="205"/>
    </row>
    <row r="35" spans="1:18" ht="14.5" x14ac:dyDescent="0.35">
      <c r="A35" s="7"/>
      <c r="B35" s="9" t="s">
        <v>35</v>
      </c>
      <c r="C35" s="7"/>
      <c r="D35" s="24">
        <f>SUM(D32:D34)</f>
        <v>96000</v>
      </c>
      <c r="E35" s="7"/>
      <c r="F35" s="25">
        <f>SUM(F32:F34)</f>
        <v>503620000</v>
      </c>
      <c r="G35" s="26">
        <f>I8-I11+I14</f>
        <v>502500000</v>
      </c>
      <c r="H35" s="24">
        <f>SUM(H32:H34)</f>
        <v>95786</v>
      </c>
      <c r="I35" s="267"/>
      <c r="J35" s="268"/>
      <c r="K35" s="274"/>
      <c r="L35" s="205"/>
      <c r="M35" s="205"/>
      <c r="N35" s="205"/>
      <c r="O35" s="205"/>
      <c r="P35" s="205"/>
      <c r="Q35" s="205"/>
      <c r="R35" s="205"/>
    </row>
    <row r="36" spans="1:18" ht="3" customHeight="1" thickBot="1" x14ac:dyDescent="0.4">
      <c r="A36" s="7"/>
      <c r="B36" s="7"/>
      <c r="C36" s="7"/>
      <c r="D36" s="7"/>
      <c r="E36" s="7"/>
      <c r="F36" s="7"/>
      <c r="G36" s="7"/>
      <c r="H36" s="27"/>
      <c r="I36" s="267"/>
      <c r="J36" s="267"/>
      <c r="K36" s="274"/>
      <c r="L36" s="205"/>
      <c r="M36" s="205"/>
      <c r="N36" s="205"/>
      <c r="O36" s="205"/>
      <c r="P36" s="205"/>
      <c r="Q36" s="205"/>
      <c r="R36" s="205"/>
    </row>
    <row r="37" spans="1:18" ht="15" thickBot="1" x14ac:dyDescent="0.4">
      <c r="A37" s="9" t="str">
        <f>year - 1 &amp; ":"</f>
        <v>2020:</v>
      </c>
      <c r="B37" s="7" t="s">
        <v>33</v>
      </c>
      <c r="C37" s="18">
        <v>150</v>
      </c>
      <c r="D37" s="19">
        <v>46000</v>
      </c>
      <c r="E37" s="20" t="s">
        <v>37</v>
      </c>
      <c r="F37" s="21">
        <f>$C37*26*$D37</f>
        <v>179400000</v>
      </c>
      <c r="G37" s="7"/>
      <c r="H37" s="27">
        <f>D37</f>
        <v>46000</v>
      </c>
      <c r="I37" s="267"/>
      <c r="J37" s="267"/>
      <c r="K37" s="275"/>
      <c r="L37" s="205"/>
      <c r="M37" s="269"/>
      <c r="N37" s="205"/>
      <c r="O37" s="205"/>
      <c r="P37" s="205"/>
      <c r="Q37" s="205"/>
      <c r="R37" s="205"/>
    </row>
    <row r="38" spans="1:18" ht="15" thickBot="1" x14ac:dyDescent="0.4">
      <c r="A38" s="9"/>
      <c r="B38" s="7" t="s">
        <v>190</v>
      </c>
      <c r="C38" s="18">
        <v>300</v>
      </c>
      <c r="D38" s="19">
        <v>25500</v>
      </c>
      <c r="E38" s="20" t="s">
        <v>37</v>
      </c>
      <c r="F38" s="21">
        <f>$C38*26*$D38</f>
        <v>198900000</v>
      </c>
      <c r="G38" s="7"/>
      <c r="H38" s="27">
        <f>D38</f>
        <v>25500</v>
      </c>
      <c r="I38" s="267"/>
      <c r="J38" s="267"/>
      <c r="K38" s="275"/>
      <c r="L38" s="205"/>
      <c r="M38" s="269"/>
      <c r="N38" s="205"/>
      <c r="O38" s="205"/>
      <c r="P38" s="205"/>
      <c r="Q38" s="205"/>
      <c r="R38" s="205"/>
    </row>
    <row r="39" spans="1:18" ht="15" thickBot="1" x14ac:dyDescent="0.4">
      <c r="A39" s="7"/>
      <c r="B39" s="7" t="s">
        <v>34</v>
      </c>
      <c r="C39" s="18">
        <v>320</v>
      </c>
      <c r="D39" s="19">
        <v>26500</v>
      </c>
      <c r="E39" s="20" t="s">
        <v>37</v>
      </c>
      <c r="F39" s="22">
        <f>$C39*26*$D39</f>
        <v>220480000</v>
      </c>
      <c r="G39" s="23"/>
      <c r="H39" s="28">
        <f>D39</f>
        <v>26500</v>
      </c>
      <c r="I39" s="267"/>
      <c r="J39" s="267"/>
      <c r="K39" s="228"/>
      <c r="M39" s="227"/>
      <c r="N39" s="205"/>
      <c r="O39" s="205"/>
      <c r="P39" s="205"/>
      <c r="Q39" s="205"/>
      <c r="R39" s="205"/>
    </row>
    <row r="40" spans="1:18" ht="14.5" x14ac:dyDescent="0.35">
      <c r="A40" s="7"/>
      <c r="B40" s="9" t="s">
        <v>35</v>
      </c>
      <c r="C40" s="7"/>
      <c r="D40" s="24">
        <f>SUM(D37:D39)</f>
        <v>98000</v>
      </c>
      <c r="E40" s="7"/>
      <c r="F40" s="25">
        <f>SUM(F37:F39)</f>
        <v>598780000</v>
      </c>
      <c r="G40" s="25">
        <f>F40</f>
        <v>598780000</v>
      </c>
      <c r="H40" s="24">
        <f>SUM(H37:H39)</f>
        <v>98000</v>
      </c>
      <c r="I40" s="267"/>
      <c r="J40" s="268"/>
      <c r="M40" s="227"/>
      <c r="N40" s="205"/>
      <c r="O40" s="205"/>
      <c r="P40" s="205"/>
      <c r="Q40" s="205"/>
      <c r="R40" s="205"/>
    </row>
    <row r="41" spans="1:18" ht="3" customHeight="1" thickBot="1" x14ac:dyDescent="0.4">
      <c r="A41" s="7"/>
      <c r="B41" s="7"/>
      <c r="C41" s="7"/>
      <c r="D41" s="7"/>
      <c r="E41" s="7"/>
      <c r="F41" s="7"/>
      <c r="G41" s="7"/>
      <c r="H41" s="27"/>
      <c r="I41" s="267"/>
      <c r="J41" s="267"/>
      <c r="N41" s="205"/>
      <c r="O41" s="205"/>
      <c r="P41" s="205"/>
      <c r="Q41" s="205"/>
      <c r="R41" s="205"/>
    </row>
    <row r="42" spans="1:18" ht="15" thickBot="1" x14ac:dyDescent="0.4">
      <c r="A42" s="9" t="s">
        <v>38</v>
      </c>
      <c r="B42" s="7" t="s">
        <v>33</v>
      </c>
      <c r="C42" s="18">
        <v>160</v>
      </c>
      <c r="D42" s="19">
        <v>47000</v>
      </c>
      <c r="E42" s="20" t="s">
        <v>37</v>
      </c>
      <c r="F42" s="21">
        <f>$C42*26*$D42</f>
        <v>195520000</v>
      </c>
      <c r="G42" s="7"/>
      <c r="H42" s="27"/>
      <c r="I42" s="267"/>
      <c r="J42" s="267"/>
      <c r="M42" s="227"/>
      <c r="N42" s="269"/>
      <c r="O42" s="205"/>
      <c r="P42" s="205"/>
      <c r="Q42" s="205"/>
      <c r="R42" s="205"/>
    </row>
    <row r="43" spans="1:18" ht="15" thickBot="1" x14ac:dyDescent="0.4">
      <c r="A43" s="9" t="str">
        <f>year &amp; ":"</f>
        <v>2021:</v>
      </c>
      <c r="B43" s="210" t="s">
        <v>190</v>
      </c>
      <c r="C43" s="18">
        <v>320</v>
      </c>
      <c r="D43" s="221">
        <v>26000</v>
      </c>
      <c r="E43" s="222" t="s">
        <v>37</v>
      </c>
      <c r="F43" s="223">
        <f>$C43*26*$D43</f>
        <v>216320000</v>
      </c>
      <c r="G43" s="210"/>
      <c r="H43" s="224"/>
      <c r="I43" s="267"/>
      <c r="J43" s="267"/>
      <c r="L43" s="211"/>
      <c r="M43" s="211"/>
      <c r="N43" s="270"/>
      <c r="O43" s="205"/>
      <c r="P43" s="205"/>
      <c r="Q43" s="205"/>
      <c r="R43" s="205"/>
    </row>
    <row r="44" spans="1:18" ht="15" thickBot="1" x14ac:dyDescent="0.4">
      <c r="B44" s="7" t="s">
        <v>34</v>
      </c>
      <c r="C44" s="18">
        <v>340</v>
      </c>
      <c r="D44" s="19">
        <v>27000</v>
      </c>
      <c r="E44" s="20" t="s">
        <v>37</v>
      </c>
      <c r="F44" s="22">
        <f>$C44*26*$D44</f>
        <v>238680000</v>
      </c>
      <c r="G44" s="23"/>
      <c r="H44" s="28"/>
      <c r="I44" s="267"/>
      <c r="J44" s="267"/>
      <c r="K44" s="228"/>
      <c r="L44" s="205"/>
      <c r="M44" s="269"/>
      <c r="N44" s="205"/>
      <c r="O44" s="205"/>
      <c r="P44" s="205"/>
      <c r="Q44" s="205"/>
      <c r="R44" s="205"/>
    </row>
    <row r="45" spans="1:18" ht="14.5" x14ac:dyDescent="0.35">
      <c r="A45" s="7"/>
      <c r="B45" s="9" t="s">
        <v>35</v>
      </c>
      <c r="C45" s="7"/>
      <c r="D45" s="24">
        <f>SUM(D42:D44)</f>
        <v>100000</v>
      </c>
      <c r="E45" s="7"/>
      <c r="F45" s="25">
        <f>SUM(F42:F44)</f>
        <v>650520000</v>
      </c>
      <c r="G45" s="7"/>
      <c r="H45" s="27"/>
      <c r="I45" s="266"/>
      <c r="J45" s="268"/>
      <c r="K45" s="228"/>
      <c r="L45" s="205"/>
      <c r="M45" s="205"/>
      <c r="N45" s="205"/>
      <c r="O45" s="205"/>
      <c r="P45" s="205"/>
      <c r="Q45" s="205"/>
      <c r="R45" s="205"/>
    </row>
    <row r="46" spans="1:18" ht="14.5" x14ac:dyDescent="0.35">
      <c r="A46" s="7"/>
      <c r="B46" s="9"/>
      <c r="C46" s="7"/>
      <c r="D46" s="24"/>
      <c r="E46" s="7"/>
      <c r="F46" s="25"/>
      <c r="G46" s="7"/>
      <c r="H46" s="27"/>
      <c r="I46" s="266"/>
      <c r="J46" s="268"/>
      <c r="K46" s="228"/>
      <c r="L46" s="205"/>
      <c r="M46" s="205"/>
      <c r="N46" s="205"/>
      <c r="O46" s="205"/>
      <c r="P46" s="205"/>
      <c r="Q46" s="205"/>
      <c r="R46" s="205"/>
    </row>
    <row r="47" spans="1:18" ht="15" thickBot="1" x14ac:dyDescent="0.4">
      <c r="A47" s="9" t="str">
        <f>"3. The table below can be used to estimate the "&amp;year&amp;" Enrollee Contribution. Please see the 'Help' sheet for more details."</f>
        <v>3. The table below can be used to estimate the 2021 Enrollee Contribution. Please see the 'Help' sheet for more details.</v>
      </c>
      <c r="B47" s="9"/>
      <c r="C47" s="7"/>
      <c r="D47" s="24"/>
      <c r="E47" s="7"/>
      <c r="F47" s="25"/>
      <c r="G47" s="7"/>
      <c r="H47" s="27"/>
      <c r="I47" s="266"/>
      <c r="J47" s="268"/>
      <c r="K47" s="270"/>
      <c r="L47" s="270"/>
      <c r="M47" s="270"/>
      <c r="N47" s="270"/>
      <c r="O47" s="270"/>
      <c r="P47" s="270"/>
      <c r="Q47" s="270"/>
      <c r="R47" s="205"/>
    </row>
    <row r="48" spans="1:18" ht="15" thickBot="1" x14ac:dyDescent="0.4">
      <c r="B48" s="8"/>
      <c r="C48" s="8"/>
      <c r="D48" s="8" t="s">
        <v>336</v>
      </c>
      <c r="E48" s="327" t="s">
        <v>334</v>
      </c>
      <c r="F48" s="7"/>
      <c r="H48" s="27"/>
      <c r="I48" s="266"/>
      <c r="J48" s="268"/>
      <c r="K48" s="270"/>
      <c r="L48" s="270"/>
      <c r="M48" s="270"/>
      <c r="N48" s="270"/>
      <c r="O48" s="270"/>
      <c r="P48" s="270"/>
      <c r="Q48" s="270"/>
      <c r="R48" s="205"/>
    </row>
    <row r="49" spans="1:19" ht="14.5" x14ac:dyDescent="0.35">
      <c r="A49" s="9"/>
      <c r="B49" s="326"/>
      <c r="C49" s="7"/>
      <c r="D49" s="24"/>
      <c r="E49" s="7"/>
      <c r="F49" s="25"/>
      <c r="G49" s="7"/>
      <c r="H49" s="27"/>
      <c r="I49" s="266"/>
      <c r="J49" s="268"/>
      <c r="K49" s="270"/>
      <c r="L49" s="270"/>
      <c r="M49" s="270"/>
      <c r="N49" s="270"/>
      <c r="O49" s="270"/>
      <c r="P49" s="270"/>
      <c r="Q49" s="270"/>
      <c r="R49" s="205"/>
    </row>
    <row r="50" spans="1:19" ht="15.75" customHeight="1" thickBot="1" x14ac:dyDescent="0.4">
      <c r="B50" s="9" t="str">
        <f>"For "&amp;year-1&amp;", the Government Contribution is the lesser of:"</f>
        <v>For 2020, the Government Contribution is the lesser of:</v>
      </c>
      <c r="C50" s="7"/>
      <c r="D50" s="24"/>
      <c r="E50" s="7"/>
      <c r="F50" s="9" t="str">
        <f>"For "&amp;year&amp;", the Government Contribution is the lesser of:"</f>
        <v>For 2021, the Government Contribution is the lesser of:</v>
      </c>
      <c r="G50" s="7"/>
      <c r="I50" s="292"/>
      <c r="J50" s="293"/>
      <c r="K50" s="270"/>
      <c r="L50" s="270"/>
      <c r="M50" s="270"/>
      <c r="N50" s="270"/>
      <c r="O50" s="270"/>
      <c r="P50" s="270"/>
      <c r="Q50" s="270"/>
      <c r="R50" s="205"/>
    </row>
    <row r="51" spans="1:19" ht="15.75" customHeight="1" thickBot="1" x14ac:dyDescent="0.4">
      <c r="B51" s="385">
        <v>0.75</v>
      </c>
      <c r="C51" s="7" t="s">
        <v>206</v>
      </c>
      <c r="D51" s="24"/>
      <c r="E51" s="7"/>
      <c r="F51" s="385">
        <v>0.75</v>
      </c>
      <c r="G51" s="7" t="s">
        <v>206</v>
      </c>
      <c r="I51" s="292"/>
      <c r="J51" s="293"/>
      <c r="L51" s="211"/>
      <c r="M51" s="211"/>
      <c r="N51" s="211"/>
      <c r="O51" s="270"/>
      <c r="P51" s="270"/>
      <c r="Q51" s="270"/>
      <c r="R51" s="205"/>
    </row>
    <row r="52" spans="1:19" ht="15" thickBot="1" x14ac:dyDescent="0.4">
      <c r="B52" s="386">
        <v>0.72</v>
      </c>
      <c r="C52" s="7" t="s">
        <v>207</v>
      </c>
      <c r="D52" s="24"/>
      <c r="E52" s="7"/>
      <c r="F52" s="386">
        <v>0.72</v>
      </c>
      <c r="G52" s="7" t="s">
        <v>207</v>
      </c>
      <c r="I52" s="293"/>
      <c r="J52" s="293"/>
      <c r="L52" s="387"/>
      <c r="M52" s="387"/>
      <c r="N52" s="387"/>
      <c r="O52" s="270"/>
      <c r="P52" s="270"/>
      <c r="Q52" s="270"/>
      <c r="R52" s="205"/>
    </row>
    <row r="53" spans="1:19" ht="15" customHeight="1" x14ac:dyDescent="0.35">
      <c r="A53" s="354"/>
      <c r="B53" s="210"/>
      <c r="C53" s="290"/>
      <c r="D53" s="210"/>
      <c r="E53" s="354"/>
      <c r="F53" s="210"/>
      <c r="I53" s="293"/>
      <c r="J53" s="293"/>
      <c r="L53" s="211"/>
      <c r="M53" s="211"/>
      <c r="N53" s="211"/>
      <c r="O53" s="270"/>
      <c r="P53" s="270"/>
      <c r="Q53" s="270"/>
      <c r="R53" s="205"/>
    </row>
    <row r="54" spans="1:19" ht="15" customHeight="1" x14ac:dyDescent="0.35">
      <c r="A54" s="449"/>
      <c r="B54" s="450" t="s">
        <v>203</v>
      </c>
      <c r="C54" s="451" t="str">
        <f>"Est. "&amp;year&amp;" Max. Gov't Contrib."</f>
        <v>Est. 2021 Max. Gov't Contrib.</v>
      </c>
      <c r="D54" s="451" t="str">
        <f>"Est. "&amp;year&amp;" Gov't Contribution"</f>
        <v>Est. 2021 Gov't Contribution</v>
      </c>
      <c r="E54" s="451" t="str">
        <f>year-1&amp;" Enrollee Contribution"</f>
        <v>2020 Enrollee Contribution</v>
      </c>
      <c r="F54" s="451" t="str">
        <f>"Est. "&amp;year&amp;" Enrollee Contribution"</f>
        <v>Est. 2021 Enrollee Contribution</v>
      </c>
      <c r="G54" s="474" t="s">
        <v>198</v>
      </c>
      <c r="H54" s="291"/>
      <c r="I54" s="441" t="str">
        <f ca="1">"NOTE: The non-Postal and annuitant Government Contribution formula of 75% and 72% has been input in cells "&amp;MID(CELL("address", B51), 2, 1)&amp;RIGHT(CELL("address", B51),2)&amp;"-"&amp;MID(CELL("address", B52), 2, 1)&amp;RIGHT(CELL("address", B52),2)&amp;" and "&amp;MID(CELL("address", F51), 2, 1)&amp;RIGHT(CELL("address", F51),2)&amp;"-"&amp;MID(CELL("address", F52), 2, 1)&amp;RIGHT(CELL("address", F52),2)&amp;", but can be changed to make estimations for different contribution formulas."</f>
        <v>NOTE: The non-Postal and annuitant Government Contribution formula of 75% and 72% has been input in cells B51-B52 and F51-F52, but can be changed to make estimations for different contribution formulas.</v>
      </c>
      <c r="J54" s="442"/>
      <c r="K54" s="294"/>
      <c r="L54" s="295"/>
      <c r="M54" s="295"/>
      <c r="N54" s="295"/>
      <c r="O54" s="211"/>
      <c r="P54" s="270"/>
      <c r="Q54" s="270"/>
      <c r="R54" s="205"/>
      <c r="S54" s="205"/>
    </row>
    <row r="55" spans="1:19" ht="15" customHeight="1" thickBot="1" x14ac:dyDescent="0.4">
      <c r="A55" s="449"/>
      <c r="B55" s="450"/>
      <c r="C55" s="451"/>
      <c r="D55" s="451"/>
      <c r="E55" s="451"/>
      <c r="F55" s="451"/>
      <c r="G55" s="475"/>
      <c r="H55" s="291"/>
      <c r="I55" s="443"/>
      <c r="J55" s="444"/>
      <c r="K55" s="296"/>
      <c r="L55" s="211"/>
      <c r="M55" s="224"/>
      <c r="N55" s="297"/>
      <c r="O55" s="211"/>
      <c r="P55" s="270"/>
      <c r="Q55" s="270"/>
      <c r="R55" s="205"/>
      <c r="S55" s="205"/>
    </row>
    <row r="56" spans="1:19" ht="15" thickBot="1" x14ac:dyDescent="0.4">
      <c r="A56" s="278" t="s">
        <v>33</v>
      </c>
      <c r="B56" s="388">
        <v>0</v>
      </c>
      <c r="C56" s="279">
        <f>IF($E$48="Bi-Weekly", ROUND(ROUND(GovtMaxS*$F$52,2)*(1+B56), 2), ROUND(ROUND(ROUND(GovtMaxS*$F$52,2)*(1+B56), 2)*26/12, 2))</f>
        <v>235.77</v>
      </c>
      <c r="D56" s="277">
        <f>IF($E$48="Bi-Weekly", ROUND(MIN(C56, ROUND(C42*1.04, 2)*$F$51),2), ROUND(MIN(C56, ROUND(ROUND(C42*1.04, 2)*(26/12),2)*$F$51),2))</f>
        <v>124.8</v>
      </c>
      <c r="E56" s="277">
        <f>IF($E$48="Bi-Weekly",ROUND(C37*1.04,2)-MIN(ROUND(GovtMaxS*$B$52,2),ROUND(ROUND(C37*1.04,2)*$B$51,2)),ROUND(ROUND(C37*1.04,2)*26/12,2)-MIN(ROUND(ROUND(GovtMaxS*$B$52,2)*26/12, 2),ROUND(ROUND(ROUND(C37*1.04,2)*26/12,2)*$B$51,2)))</f>
        <v>39</v>
      </c>
      <c r="F56" s="277">
        <f>IF($E$48="Bi-Weekly",ROUND(C42*1.04, 2)-D56,ROUND(ROUND(C42*1.04,2)*26/12,2)-D56)</f>
        <v>41.600000000000009</v>
      </c>
      <c r="G56" s="336">
        <f>F56/E56-1</f>
        <v>6.6666666666666874E-2</v>
      </c>
      <c r="H56" s="366"/>
      <c r="I56" s="443"/>
      <c r="J56" s="444"/>
      <c r="K56" s="296"/>
      <c r="L56" s="211"/>
      <c r="M56" s="298"/>
      <c r="N56" s="299"/>
      <c r="O56" s="211"/>
      <c r="P56" s="270"/>
      <c r="Q56" s="270"/>
      <c r="R56" s="205"/>
      <c r="S56" s="205"/>
    </row>
    <row r="57" spans="1:19" ht="15" thickBot="1" x14ac:dyDescent="0.4">
      <c r="A57" s="278" t="s">
        <v>190</v>
      </c>
      <c r="B57" s="388">
        <v>0</v>
      </c>
      <c r="C57" s="279">
        <f>IF($E$48="Bi-Weekly", ROUND(ROUND(GovtMaxP*$F$52,2)*(1+B57), 2), ROUND(ROUND(ROUND(GovtMaxP*$F$52,2)*(1+B57), 2)*26/12, 2))</f>
        <v>504.12</v>
      </c>
      <c r="D57" s="277">
        <f t="shared" ref="D57:D58" si="0">IF($E$48="Bi-Weekly", ROUND(MIN(C57, ROUND(C43*1.04, 2)*$F$51),2), ROUND(MIN(C57, ROUND(ROUND(C43*1.04, 2)*(26/12),2)*$F$51),2))</f>
        <v>249.6</v>
      </c>
      <c r="E57" s="277">
        <f>IF($E$48="Bi-Weekly",ROUND(C38*1.04,2)-MIN(ROUND(GovtMaxP*$B$52,2),ROUND(ROUND(C38*1.04,2)*$B$51,2)),ROUND(ROUND(C38*1.04,2)*26/12,2)-MIN(ROUND(ROUND(GovtMaxP*$B$52,2)*26/12, 2),ROUND(ROUND(ROUND(C38*1.04,2)*26/12,2)*$B$51,2)))</f>
        <v>78</v>
      </c>
      <c r="F57" s="277">
        <f t="shared" ref="F57:F58" si="1">IF($E$48="Bi-Weekly",ROUND(C43*1.04, 2)-D57,ROUND(ROUND(C43*1.04,2)*26/12,2)-D57)</f>
        <v>83.200000000000017</v>
      </c>
      <c r="G57" s="336">
        <f t="shared" ref="G57:G58" si="2">F57/E57-1</f>
        <v>6.6666666666666874E-2</v>
      </c>
      <c r="H57" s="366"/>
      <c r="I57" s="443"/>
      <c r="J57" s="444"/>
      <c r="K57" s="300"/>
      <c r="L57" s="211"/>
      <c r="M57" s="298"/>
      <c r="N57" s="299"/>
      <c r="O57" s="211"/>
      <c r="P57" s="270"/>
      <c r="Q57" s="270"/>
      <c r="R57" s="205"/>
      <c r="S57" s="205"/>
    </row>
    <row r="58" spans="1:19" ht="15" thickBot="1" x14ac:dyDescent="0.4">
      <c r="A58" s="278" t="s">
        <v>34</v>
      </c>
      <c r="B58" s="388">
        <v>0</v>
      </c>
      <c r="C58" s="279">
        <f>IF($E$48="Bi-Weekly", ROUND(ROUND(GovtMaxF*$F$52,2)*(1+B58), 2), ROUND(ROUND(ROUND(GovtMaxF*$F$52,2)*(1+B58), 2)*26/12, 2))</f>
        <v>546.47</v>
      </c>
      <c r="D58" s="277">
        <f t="shared" si="0"/>
        <v>265.2</v>
      </c>
      <c r="E58" s="277">
        <f>IF($E$48="Bi-Weekly",ROUND(C39*1.04,2)-MIN(ROUND(GovtMaxF*$B$52,2),ROUND(ROUND(C39*1.04,2)*$B$51,2)),ROUND(ROUND(C39*1.04,2)*26/12,2)-MIN(ROUND(ROUND(GovtMaxF*$B$52,2)*26/12, 2),ROUND(ROUND(ROUND(C39*1.04,2)*26/12,2)*$B$51,2)))</f>
        <v>83.200000000000017</v>
      </c>
      <c r="F58" s="277">
        <f t="shared" si="1"/>
        <v>88.400000000000034</v>
      </c>
      <c r="G58" s="336">
        <f t="shared" si="2"/>
        <v>6.2500000000000222E-2</v>
      </c>
      <c r="H58" s="366"/>
      <c r="I58" s="443"/>
      <c r="J58" s="444"/>
      <c r="K58" s="271"/>
      <c r="L58" s="270"/>
      <c r="M58" s="205"/>
      <c r="N58" s="205"/>
      <c r="O58" s="205"/>
      <c r="P58" s="205"/>
      <c r="Q58" s="205"/>
      <c r="R58" s="205"/>
      <c r="S58" s="205"/>
    </row>
    <row r="59" spans="1:19" ht="15" customHeight="1" x14ac:dyDescent="0.35">
      <c r="A59" s="278"/>
      <c r="B59" s="476" t="str">
        <f ca="1">"** The estimated increase to the maximum Government Contribution should be based on the assumption of the Government Contribution formula remaining the same year over year.  The impact of any change in the Government Contribution formula (cells "&amp;MID(CELL("address", B51), 2, 1)&amp;RIGHT(CELL("address", B51),2)&amp;"-"&amp;MID(CELL("address", B52), 2, 1)&amp;RIGHT(CELL("address", B52),2)&amp;" and "&amp;MID(CELL("address", F51), 2, 1)&amp;RIGHT(CELL("address", F51),2)&amp;"-"&amp;MID(CELL("address", F52), 2, 1)&amp;RIGHT(CELL("address", F52),2)&amp;")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B51-B52 and F51-F52) is already reflected in our calculations.</v>
      </c>
      <c r="C59" s="476"/>
      <c r="D59" s="476"/>
      <c r="E59" s="476"/>
      <c r="F59" s="476"/>
      <c r="G59" s="476"/>
      <c r="H59" s="225"/>
      <c r="I59" s="443"/>
      <c r="J59" s="444"/>
      <c r="K59" s="271"/>
      <c r="L59" s="270"/>
      <c r="M59" s="205"/>
      <c r="N59" s="205"/>
      <c r="O59" s="205"/>
      <c r="P59" s="205"/>
      <c r="Q59" s="205"/>
      <c r="R59" s="205"/>
      <c r="S59" s="205"/>
    </row>
    <row r="60" spans="1:19" ht="14.5" x14ac:dyDescent="0.35">
      <c r="A60" s="278"/>
      <c r="B60" s="476"/>
      <c r="C60" s="476"/>
      <c r="D60" s="476"/>
      <c r="E60" s="476"/>
      <c r="F60" s="476"/>
      <c r="G60" s="476"/>
      <c r="H60" s="225"/>
      <c r="I60" s="445"/>
      <c r="J60" s="446"/>
      <c r="K60" s="271"/>
      <c r="L60" s="270"/>
      <c r="M60" s="205"/>
      <c r="N60" s="205"/>
      <c r="O60" s="205"/>
      <c r="P60" s="205"/>
      <c r="Q60" s="205"/>
      <c r="R60" s="205"/>
      <c r="S60" s="205"/>
    </row>
    <row r="61" spans="1:19" ht="14.5" x14ac:dyDescent="0.35">
      <c r="A61" s="7"/>
      <c r="B61" s="476"/>
      <c r="C61" s="476"/>
      <c r="D61" s="476"/>
      <c r="E61" s="476"/>
      <c r="F61" s="476"/>
      <c r="G61" s="476"/>
      <c r="H61" s="225"/>
      <c r="I61" s="271"/>
      <c r="J61" s="271"/>
      <c r="K61" s="270"/>
      <c r="L61" s="205"/>
      <c r="M61" s="205"/>
      <c r="N61" s="205"/>
      <c r="O61" s="205"/>
      <c r="P61" s="205"/>
      <c r="Q61" s="205"/>
      <c r="R61" s="205"/>
    </row>
    <row r="62" spans="1:19" ht="14.5" x14ac:dyDescent="0.35">
      <c r="A62" s="9" t="s">
        <v>209</v>
      </c>
      <c r="B62" s="389"/>
      <c r="C62" s="389"/>
      <c r="D62" s="389"/>
      <c r="E62" s="389"/>
      <c r="F62" s="389"/>
      <c r="G62" s="389"/>
      <c r="H62" s="225"/>
      <c r="I62" s="271"/>
      <c r="J62" s="271"/>
      <c r="K62" s="270"/>
      <c r="L62" s="205"/>
      <c r="M62" s="205"/>
      <c r="N62" s="205"/>
      <c r="O62" s="205"/>
      <c r="P62" s="205"/>
      <c r="Q62" s="205"/>
      <c r="R62" s="205"/>
    </row>
    <row r="63" spans="1:19" ht="14.5" x14ac:dyDescent="0.35">
      <c r="A63" s="9" t="str">
        <f>"   (a) As of 12/31/" &amp; year-2 &amp; " what were the total claims paid to date for services incurred in each of the following years? "</f>
        <v xml:space="preserve">   (a) As of 12/31/2019 what were the total claims paid to date for services incurred in each of the following years? </v>
      </c>
      <c r="B63" s="7"/>
      <c r="C63" s="7"/>
      <c r="D63" s="7"/>
      <c r="E63" s="7"/>
      <c r="F63" s="7"/>
      <c r="G63" s="7"/>
      <c r="H63" s="7"/>
      <c r="I63" s="271"/>
      <c r="J63" s="271"/>
      <c r="K63" s="270"/>
      <c r="L63" s="205"/>
      <c r="M63" s="205"/>
      <c r="N63" s="205"/>
      <c r="O63" s="205"/>
      <c r="P63" s="205"/>
      <c r="Q63" s="205"/>
      <c r="R63" s="205"/>
    </row>
    <row r="64" spans="1:19" ht="15" thickBot="1" x14ac:dyDescent="0.4">
      <c r="A64" s="7"/>
      <c r="B64" s="7"/>
      <c r="C64" s="7"/>
      <c r="D64" s="7"/>
      <c r="E64" s="7"/>
      <c r="F64" s="7"/>
      <c r="G64" s="7"/>
      <c r="H64" s="7"/>
      <c r="I64" s="271"/>
      <c r="J64" s="271"/>
      <c r="K64" s="270"/>
      <c r="L64" s="205"/>
      <c r="M64" s="205"/>
      <c r="N64" s="205"/>
      <c r="O64" s="205"/>
      <c r="P64" s="205"/>
      <c r="Q64" s="205"/>
      <c r="R64" s="205"/>
    </row>
    <row r="65" spans="1:17" ht="15" thickBot="1" x14ac:dyDescent="0.4">
      <c r="A65" s="7"/>
      <c r="B65" s="372">
        <f>year-4</f>
        <v>2017</v>
      </c>
      <c r="C65" s="15">
        <v>440000000</v>
      </c>
      <c r="D65" s="372">
        <f>year-3</f>
        <v>2018</v>
      </c>
      <c r="E65" s="15">
        <v>450000000</v>
      </c>
      <c r="F65" s="372">
        <f>year-2</f>
        <v>2019</v>
      </c>
      <c r="G65" s="15">
        <v>400000000</v>
      </c>
      <c r="H65" s="7"/>
      <c r="I65" s="271"/>
      <c r="J65" s="271"/>
      <c r="K65" s="270"/>
      <c r="L65" s="205"/>
      <c r="M65" s="205"/>
      <c r="N65" s="205"/>
      <c r="O65" s="205"/>
      <c r="P65" s="205"/>
      <c r="Q65" s="205"/>
    </row>
    <row r="66" spans="1:17" ht="14.5" x14ac:dyDescent="0.35">
      <c r="A66" s="7"/>
      <c r="B66" s="7"/>
      <c r="C66" s="7"/>
      <c r="D66" s="7"/>
      <c r="E66" s="7"/>
      <c r="F66" s="7"/>
      <c r="G66" s="7"/>
      <c r="H66" s="225"/>
      <c r="I66" s="7"/>
      <c r="J66" s="7"/>
    </row>
    <row r="67" spans="1:17" ht="14.5" x14ac:dyDescent="0.35">
      <c r="A67" s="9" t="str">
        <f>"   (b) As of 4/30/" &amp; year-1 &amp; " what were the total claims paid in " &amp;year-1&amp; " for services incurred in each of the following years?"</f>
        <v xml:space="preserve">   (b) As of 4/30/2020 what were the total claims paid in 2020 for services incurred in each of the following years?</v>
      </c>
      <c r="B67" s="7"/>
      <c r="C67" s="7"/>
      <c r="D67" s="7"/>
      <c r="E67" s="7"/>
      <c r="F67" s="7"/>
      <c r="G67" s="7"/>
      <c r="H67" s="225"/>
      <c r="I67" s="7"/>
      <c r="J67" s="7"/>
    </row>
    <row r="68" spans="1:17" ht="15" thickBot="1" x14ac:dyDescent="0.4">
      <c r="A68" s="7"/>
      <c r="B68" s="7"/>
      <c r="C68" s="7"/>
      <c r="D68" s="7"/>
      <c r="E68" s="7"/>
      <c r="F68" s="7"/>
      <c r="G68" s="7"/>
      <c r="H68" s="7"/>
      <c r="I68" s="7"/>
      <c r="J68" s="7"/>
    </row>
    <row r="69" spans="1:17" ht="15" thickBot="1" x14ac:dyDescent="0.4">
      <c r="A69" s="7"/>
      <c r="B69" s="9">
        <f>year-4</f>
        <v>2017</v>
      </c>
      <c r="C69" s="15">
        <v>0</v>
      </c>
      <c r="D69" s="9">
        <f>year-3</f>
        <v>2018</v>
      </c>
      <c r="E69" s="15">
        <v>1200000</v>
      </c>
      <c r="F69" s="9">
        <f>year-2</f>
        <v>2019</v>
      </c>
      <c r="G69" s="15">
        <v>70000000</v>
      </c>
      <c r="H69" s="9">
        <f>year-1</f>
        <v>2020</v>
      </c>
      <c r="I69" s="15">
        <v>110000000</v>
      </c>
      <c r="J69" s="7"/>
    </row>
    <row r="70" spans="1:17" ht="14.5" x14ac:dyDescent="0.35">
      <c r="A70" s="7"/>
      <c r="B70" s="7"/>
      <c r="C70" s="7"/>
      <c r="D70" s="7"/>
      <c r="E70" s="7"/>
      <c r="F70" s="7"/>
      <c r="G70" s="7"/>
      <c r="H70" s="7"/>
      <c r="I70" s="7"/>
      <c r="J70" s="7"/>
    </row>
    <row r="71" spans="1:17" ht="14.5" x14ac:dyDescent="0.35">
      <c r="A71" s="9" t="s">
        <v>39</v>
      </c>
      <c r="B71" s="7"/>
      <c r="C71" s="7"/>
      <c r="D71" s="7"/>
      <c r="E71" s="7"/>
      <c r="F71" s="7"/>
      <c r="G71" s="7"/>
      <c r="H71" s="7"/>
      <c r="I71" s="7"/>
      <c r="J71" s="7"/>
    </row>
    <row r="72" spans="1:17" ht="15" thickBot="1" x14ac:dyDescent="0.4">
      <c r="A72" s="7"/>
      <c r="B72" s="7"/>
      <c r="C72" s="7"/>
      <c r="D72" s="7"/>
      <c r="E72" s="7"/>
      <c r="F72" s="7"/>
      <c r="G72" s="7"/>
      <c r="H72" s="7"/>
      <c r="I72" s="7"/>
      <c r="J72" s="7"/>
    </row>
    <row r="73" spans="1:17" ht="15" thickBot="1" x14ac:dyDescent="0.4">
      <c r="A73" s="7"/>
      <c r="B73" s="9">
        <f>year-4</f>
        <v>2017</v>
      </c>
      <c r="C73" s="15">
        <v>440000000</v>
      </c>
      <c r="D73" s="9">
        <f>year-3</f>
        <v>2018</v>
      </c>
      <c r="E73" s="15">
        <v>452000000</v>
      </c>
      <c r="F73" s="9">
        <f>year-2</f>
        <v>2019</v>
      </c>
      <c r="G73" s="15">
        <v>480000000</v>
      </c>
      <c r="H73" s="7"/>
      <c r="I73" s="7"/>
      <c r="J73" s="7"/>
    </row>
    <row r="74" spans="1:17" ht="15" thickBot="1" x14ac:dyDescent="0.4">
      <c r="A74" s="7"/>
      <c r="B74" s="7"/>
      <c r="C74" s="7"/>
      <c r="D74" s="7"/>
      <c r="E74" s="7"/>
      <c r="F74" s="7"/>
      <c r="G74" s="7"/>
      <c r="H74" s="7"/>
      <c r="I74" s="7"/>
      <c r="J74" s="7"/>
    </row>
    <row r="75" spans="1:17" ht="15" thickBot="1" x14ac:dyDescent="0.4">
      <c r="A75" s="9" t="str">
        <f>"   (d) Claims Incurred but Unpaid for years prior to " &amp;year-4&amp; "?"</f>
        <v xml:space="preserve">   (d) Claims Incurred but Unpaid for years prior to 2017?</v>
      </c>
      <c r="B75" s="7"/>
      <c r="C75" s="29"/>
      <c r="D75" s="7"/>
      <c r="E75" s="15">
        <v>0</v>
      </c>
      <c r="F75" s="7"/>
      <c r="G75" s="7"/>
      <c r="H75" s="7"/>
      <c r="I75" s="7"/>
      <c r="J75" s="7"/>
    </row>
    <row r="76" spans="1:17" ht="14.5" x14ac:dyDescent="0.35">
      <c r="A76" s="7"/>
      <c r="B76" s="7"/>
      <c r="C76" s="30"/>
      <c r="D76" s="7"/>
      <c r="E76" s="7"/>
      <c r="F76" s="7"/>
      <c r="G76" s="7"/>
      <c r="H76" s="7"/>
      <c r="I76" s="7"/>
      <c r="J76" s="7"/>
    </row>
    <row r="77" spans="1:17" ht="14.5" x14ac:dyDescent="0.35">
      <c r="A77" s="7"/>
      <c r="B77" s="7"/>
      <c r="C77" s="30"/>
      <c r="D77" s="7"/>
      <c r="E77" s="7"/>
      <c r="F77" s="7"/>
      <c r="G77" s="7"/>
      <c r="H77" s="7"/>
      <c r="I77" s="7"/>
      <c r="J77" s="7"/>
    </row>
    <row r="78" spans="1:17" ht="14.5" x14ac:dyDescent="0.35">
      <c r="A78" s="9" t="str">
        <f>"         The portion of these claims that have been paid as of 12/31/" &amp;year-2&amp;":"</f>
        <v xml:space="preserve">         The portion of these claims that have been paid as of 12/31/2019:</v>
      </c>
      <c r="B78" s="7"/>
      <c r="C78" s="7"/>
      <c r="D78" s="29"/>
      <c r="E78" s="7"/>
      <c r="F78" s="7"/>
      <c r="G78" s="7"/>
      <c r="H78" s="7"/>
      <c r="I78" s="7"/>
      <c r="J78" s="7"/>
    </row>
    <row r="79" spans="1:17" ht="14.5" x14ac:dyDescent="0.35">
      <c r="A79" s="7"/>
      <c r="B79" s="7"/>
      <c r="C79" s="7"/>
      <c r="D79" s="7"/>
      <c r="E79" s="7"/>
      <c r="F79" s="7"/>
      <c r="G79" s="7"/>
      <c r="H79" s="7"/>
      <c r="I79" s="7"/>
      <c r="J79" s="7"/>
    </row>
    <row r="80" spans="1:17" ht="14.5" x14ac:dyDescent="0.35">
      <c r="A80" s="7"/>
      <c r="B80" s="9">
        <f>year-4</f>
        <v>2017</v>
      </c>
      <c r="C80" s="31">
        <f>C65/C73</f>
        <v>1</v>
      </c>
      <c r="D80" s="9">
        <f>year-3</f>
        <v>2018</v>
      </c>
      <c r="E80" s="31">
        <f>E65/E73</f>
        <v>0.99557522123893805</v>
      </c>
      <c r="F80" s="9">
        <f>year-2</f>
        <v>2019</v>
      </c>
      <c r="G80" s="31">
        <f>G65/G73</f>
        <v>0.83333333333333337</v>
      </c>
      <c r="H80" s="7"/>
      <c r="I80" s="7"/>
      <c r="J80" s="7"/>
    </row>
    <row r="81" spans="1:10" ht="14.5" x14ac:dyDescent="0.35">
      <c r="A81" s="7"/>
      <c r="B81" s="7"/>
      <c r="C81" s="7"/>
      <c r="D81" s="7"/>
      <c r="E81" s="7"/>
      <c r="F81" s="7"/>
      <c r="G81" s="7"/>
      <c r="H81" s="7"/>
      <c r="I81" s="7"/>
      <c r="J81" s="7"/>
    </row>
    <row r="82" spans="1:10" ht="14.5" x14ac:dyDescent="0.35">
      <c r="A82" s="9" t="str">
        <f>"         The portion of these claims that have been paid as of 4/30/" &amp;year-1&amp;":"</f>
        <v xml:space="preserve">         The portion of these claims that have been paid as of 4/30/2020:</v>
      </c>
      <c r="B82" s="7"/>
      <c r="C82" s="7"/>
      <c r="D82" s="29"/>
      <c r="E82" s="7"/>
      <c r="F82" s="7"/>
      <c r="G82" s="7"/>
      <c r="H82" s="7"/>
      <c r="I82" s="7"/>
      <c r="J82" s="7"/>
    </row>
    <row r="83" spans="1:10" ht="14.5" x14ac:dyDescent="0.35">
      <c r="A83" s="7"/>
      <c r="B83" s="7"/>
      <c r="C83" s="7"/>
      <c r="D83" s="7"/>
      <c r="E83" s="7"/>
      <c r="F83" s="7"/>
      <c r="G83" s="7"/>
      <c r="H83" s="29"/>
      <c r="I83" s="7"/>
      <c r="J83" s="7"/>
    </row>
    <row r="84" spans="1:10" ht="14.5" x14ac:dyDescent="0.35">
      <c r="A84" s="7"/>
      <c r="B84" s="9">
        <f>year-4</f>
        <v>2017</v>
      </c>
      <c r="C84" s="31">
        <f>(C$65+C$69)/C$73</f>
        <v>1</v>
      </c>
      <c r="D84" s="9">
        <f>year-3</f>
        <v>2018</v>
      </c>
      <c r="E84" s="31">
        <f>(E$65+E$69)/E$73</f>
        <v>0.99823008849557526</v>
      </c>
      <c r="F84" s="9">
        <f>year-2</f>
        <v>2019</v>
      </c>
      <c r="G84" s="31">
        <f>(G$65+G$69)/G$73</f>
        <v>0.97916666666666663</v>
      </c>
      <c r="H84" s="7"/>
      <c r="I84" s="7"/>
      <c r="J84" s="7"/>
    </row>
    <row r="85" spans="1:10" ht="14.5" x14ac:dyDescent="0.35">
      <c r="A85" s="7"/>
      <c r="B85" s="7"/>
      <c r="C85" s="7"/>
      <c r="D85" s="7"/>
      <c r="E85" s="7"/>
      <c r="F85" s="7"/>
      <c r="G85" s="7"/>
      <c r="H85" s="7"/>
      <c r="I85" s="7"/>
      <c r="J85" s="7"/>
    </row>
    <row r="86" spans="1:10" ht="15" thickBot="1" x14ac:dyDescent="0.4">
      <c r="A86" s="432" t="s">
        <v>45</v>
      </c>
      <c r="B86" s="433"/>
      <c r="C86" s="433"/>
      <c r="D86" s="433"/>
      <c r="E86" s="433"/>
      <c r="F86" s="433"/>
      <c r="G86" s="433"/>
      <c r="H86" s="433"/>
      <c r="I86" s="434"/>
      <c r="J86" s="7"/>
    </row>
    <row r="87" spans="1:10" ht="15" thickTop="1" x14ac:dyDescent="0.35">
      <c r="A87" s="464" t="str">
        <f>"Claims in item 10 for "&amp;year-2&amp;"-"&amp;year&amp;" are equal to the product of the prior year’s claims and the factors in items 5 through 9. "</f>
        <v xml:space="preserve">Claims in item 10 for 2019-2021 are equal to the product of the prior year’s claims and the factors in items 5 through 9. </v>
      </c>
      <c r="B87" s="465"/>
      <c r="C87" s="465"/>
      <c r="D87" s="465"/>
      <c r="E87" s="465"/>
      <c r="F87" s="465"/>
      <c r="G87" s="465"/>
      <c r="H87" s="465"/>
      <c r="I87" s="466"/>
      <c r="J87" s="7"/>
    </row>
    <row r="88" spans="1:10" ht="14.5" x14ac:dyDescent="0.35">
      <c r="A88" s="455" t="str">
        <f>"For "&amp;year-2&amp;", the claims in item 10 must agree with the ultimate claims stated in item 4."</f>
        <v>For 2019, the claims in item 10 must agree with the ultimate claims stated in item 4.</v>
      </c>
      <c r="B88" s="456"/>
      <c r="C88" s="456"/>
      <c r="D88" s="456"/>
      <c r="E88" s="456"/>
      <c r="F88" s="456"/>
      <c r="G88" s="456"/>
      <c r="H88" s="456"/>
      <c r="I88" s="457"/>
      <c r="J88" s="7"/>
    </row>
    <row r="89" spans="1:10" ht="14.5" hidden="1" x14ac:dyDescent="0.35">
      <c r="A89" s="455"/>
      <c r="B89" s="456"/>
      <c r="C89" s="456"/>
      <c r="D89" s="456"/>
      <c r="E89" s="456"/>
      <c r="F89" s="456"/>
      <c r="G89" s="456"/>
      <c r="H89" s="456"/>
      <c r="I89" s="457"/>
      <c r="J89" s="7"/>
    </row>
    <row r="90" spans="1:10" ht="14.5" x14ac:dyDescent="0.35">
      <c r="A90" s="7"/>
      <c r="B90" s="7"/>
      <c r="C90" s="7"/>
      <c r="D90" s="7"/>
      <c r="E90" s="7"/>
      <c r="F90" s="7"/>
      <c r="G90" s="7"/>
      <c r="H90" s="7"/>
      <c r="I90" s="7"/>
      <c r="J90" s="7"/>
    </row>
    <row r="91" spans="1:10" ht="14.5" x14ac:dyDescent="0.35">
      <c r="A91" s="9" t="s">
        <v>210</v>
      </c>
      <c r="B91" s="7"/>
      <c r="C91" s="7"/>
      <c r="D91" s="7"/>
      <c r="E91" s="7"/>
      <c r="F91" s="7"/>
      <c r="G91" s="7"/>
      <c r="H91" s="7"/>
      <c r="I91" s="7"/>
      <c r="J91" s="7"/>
    </row>
    <row r="92" spans="1:10" ht="15" thickBot="1" x14ac:dyDescent="0.4">
      <c r="A92" s="7"/>
      <c r="B92" s="7"/>
      <c r="C92" s="7"/>
      <c r="D92" s="7"/>
      <c r="E92" s="7"/>
      <c r="F92" s="7"/>
      <c r="G92" s="7"/>
      <c r="H92" s="7"/>
      <c r="I92" s="7"/>
      <c r="J92" s="7"/>
    </row>
    <row r="93" spans="1:10" ht="15" thickBot="1" x14ac:dyDescent="0.4">
      <c r="A93" s="8" t="s">
        <v>173</v>
      </c>
      <c r="B93" s="5"/>
      <c r="C93" s="8" t="s">
        <v>174</v>
      </c>
      <c r="D93" s="5"/>
      <c r="E93" s="7" t="s">
        <v>172</v>
      </c>
      <c r="F93" s="33" t="s">
        <v>40</v>
      </c>
      <c r="G93" s="7"/>
      <c r="H93" s="7"/>
      <c r="I93" s="7"/>
      <c r="J93" s="7"/>
    </row>
    <row r="94" spans="1:10" ht="14.5" x14ac:dyDescent="0.35">
      <c r="A94" s="7"/>
      <c r="B94" s="7"/>
      <c r="C94" s="7"/>
      <c r="D94" s="7"/>
      <c r="E94" s="7"/>
      <c r="F94" s="7"/>
      <c r="G94" s="7"/>
      <c r="H94" s="7"/>
      <c r="I94" s="7"/>
      <c r="J94" s="7"/>
    </row>
    <row r="95" spans="1:10" ht="14.5" x14ac:dyDescent="0.35">
      <c r="A95" s="9" t="s">
        <v>41</v>
      </c>
      <c r="B95" s="7"/>
      <c r="C95" s="7"/>
      <c r="D95" s="7"/>
      <c r="E95" s="7"/>
      <c r="F95" s="7"/>
      <c r="G95" s="7"/>
      <c r="H95" s="7"/>
      <c r="I95" s="7"/>
      <c r="J95" s="7"/>
    </row>
    <row r="96" spans="1:10" ht="14.5" x14ac:dyDescent="0.35">
      <c r="A96" s="7"/>
      <c r="B96" s="7"/>
      <c r="C96" s="7"/>
      <c r="D96" s="7"/>
      <c r="E96" s="7"/>
      <c r="F96" s="7"/>
      <c r="G96" s="7"/>
      <c r="H96" s="7"/>
      <c r="I96" s="7"/>
      <c r="J96" s="7"/>
    </row>
    <row r="97" spans="1:10" ht="14.5" x14ac:dyDescent="0.35">
      <c r="A97" s="7"/>
      <c r="B97" s="16" t="str">
        <f>year-3 &amp;" to " &amp;year-2</f>
        <v>2018 to 2019</v>
      </c>
      <c r="C97" s="12"/>
      <c r="D97" s="16" t="str">
        <f>year-2&amp; " to " &amp;year-1</f>
        <v>2019 to 2020</v>
      </c>
      <c r="E97" s="12"/>
      <c r="F97" s="506" t="str">
        <f>"Est. " &amp;year-1&amp; " to " &amp;year</f>
        <v>Est. 2020 to 2021</v>
      </c>
      <c r="G97" s="507"/>
      <c r="H97" s="12"/>
      <c r="I97" s="7"/>
      <c r="J97" s="7"/>
    </row>
    <row r="98" spans="1:10" ht="14.5" x14ac:dyDescent="0.35">
      <c r="A98" s="7"/>
      <c r="B98" s="7"/>
      <c r="C98" s="7"/>
      <c r="D98" s="7"/>
      <c r="E98" s="7"/>
      <c r="F98" s="16"/>
      <c r="G98" s="7"/>
      <c r="H98" s="7"/>
      <c r="I98" s="7"/>
      <c r="J98" s="7"/>
    </row>
    <row r="99" spans="1:10" ht="14.5" x14ac:dyDescent="0.35">
      <c r="A99" s="9" t="s">
        <v>42</v>
      </c>
      <c r="B99" s="106">
        <f>(C27*H32+C28*H33+C29*H34)/(H27*C27+H28*C28+H29*C29)</f>
        <v>1.0259834269079275</v>
      </c>
      <c r="C99" s="398"/>
      <c r="D99" s="106">
        <f>(C32*H37+C33*H38+C34*H39)/(C32*H32+C33*H33+C34*H34)</f>
        <v>1.0226742375087832</v>
      </c>
      <c r="E99" s="398"/>
      <c r="F99" s="106">
        <f>(C37*D42+C38*D43+C39*D44)/(C37*D37+C38*D38+C39*D39)</f>
        <v>1.0199739470256188</v>
      </c>
      <c r="G99" s="7"/>
      <c r="H99" s="7"/>
      <c r="I99" s="7"/>
      <c r="J99" s="7"/>
    </row>
    <row r="100" spans="1:10" ht="15" thickBot="1" x14ac:dyDescent="0.4">
      <c r="A100" s="7"/>
      <c r="B100" s="7"/>
      <c r="C100" s="7"/>
      <c r="D100" s="7"/>
      <c r="E100" s="7"/>
      <c r="F100" s="7"/>
      <c r="G100" s="7"/>
      <c r="H100" s="7"/>
      <c r="I100" s="7"/>
      <c r="J100" s="7"/>
    </row>
    <row r="101" spans="1:10" ht="15" thickBot="1" x14ac:dyDescent="0.4">
      <c r="A101" s="9" t="s">
        <v>93</v>
      </c>
      <c r="B101" s="35">
        <v>1</v>
      </c>
      <c r="C101" s="7"/>
      <c r="D101" s="35">
        <f>1</f>
        <v>1</v>
      </c>
      <c r="E101" s="7"/>
      <c r="F101" s="35">
        <f>1</f>
        <v>1</v>
      </c>
      <c r="G101" s="7"/>
      <c r="H101" s="7"/>
      <c r="I101" s="7"/>
      <c r="J101" s="7"/>
    </row>
    <row r="102" spans="1:10" ht="14.5" x14ac:dyDescent="0.35">
      <c r="A102" s="36" t="s">
        <v>43</v>
      </c>
      <c r="B102" s="7"/>
      <c r="C102" s="7"/>
      <c r="D102" s="7"/>
      <c r="E102" s="7"/>
      <c r="F102" s="7"/>
      <c r="G102" s="7"/>
      <c r="H102" s="7"/>
      <c r="I102" s="7"/>
      <c r="J102" s="7"/>
    </row>
    <row r="103" spans="1:10" ht="14.5" x14ac:dyDescent="0.35">
      <c r="A103" s="7"/>
      <c r="B103" s="7"/>
      <c r="C103" s="7"/>
      <c r="D103" s="7"/>
      <c r="E103" s="7"/>
      <c r="F103" s="7"/>
      <c r="G103" s="7"/>
      <c r="H103" s="7"/>
      <c r="I103" s="7"/>
      <c r="J103" s="7"/>
    </row>
    <row r="104" spans="1:10" ht="14.5" x14ac:dyDescent="0.35">
      <c r="A104" s="9" t="s">
        <v>44</v>
      </c>
      <c r="B104" s="37">
        <f>IF(F93&lt;&gt;"X",B$99*B$101,B99)</f>
        <v>1.0259834269079275</v>
      </c>
      <c r="C104" s="7"/>
      <c r="D104" s="250">
        <f>IF(F93&lt;&gt;"X",D$99*D$101,D99)</f>
        <v>1.0226742375087832</v>
      </c>
      <c r="E104" s="7"/>
      <c r="F104" s="249">
        <f>IF(F93&lt;&gt;"X",F$99*F$101,F99)</f>
        <v>1.0199739470256188</v>
      </c>
      <c r="G104" s="7"/>
      <c r="H104" s="7"/>
      <c r="I104" s="7"/>
      <c r="J104" s="7"/>
    </row>
    <row r="105" spans="1:10" ht="14.5" x14ac:dyDescent="0.35">
      <c r="A105" s="7"/>
      <c r="B105" s="7"/>
      <c r="C105" s="7"/>
      <c r="D105" s="7"/>
      <c r="E105" s="7"/>
      <c r="F105" s="7"/>
      <c r="G105" s="7"/>
      <c r="H105" s="7"/>
      <c r="I105" s="7"/>
      <c r="J105" s="7"/>
    </row>
    <row r="106" spans="1:10" ht="15" thickBot="1" x14ac:dyDescent="0.4">
      <c r="A106" s="432" t="s">
        <v>47</v>
      </c>
      <c r="B106" s="433"/>
      <c r="C106" s="433"/>
      <c r="D106" s="433"/>
      <c r="E106" s="433"/>
      <c r="F106" s="433"/>
      <c r="G106" s="433"/>
      <c r="H106" s="433"/>
      <c r="I106" s="434"/>
      <c r="J106" s="7"/>
    </row>
    <row r="107" spans="1:10" ht="15" thickTop="1" x14ac:dyDescent="0.35">
      <c r="A107" s="458" t="s">
        <v>211</v>
      </c>
      <c r="B107" s="459"/>
      <c r="C107" s="459"/>
      <c r="D107" s="459"/>
      <c r="E107" s="459"/>
      <c r="F107" s="459"/>
      <c r="G107" s="459"/>
      <c r="H107" s="459"/>
      <c r="I107" s="460"/>
      <c r="J107" s="7"/>
    </row>
    <row r="108" spans="1:10" ht="14.5" x14ac:dyDescent="0.35">
      <c r="A108" s="458" t="s">
        <v>191</v>
      </c>
      <c r="B108" s="459"/>
      <c r="C108" s="459"/>
      <c r="D108" s="459"/>
      <c r="E108" s="459"/>
      <c r="F108" s="459"/>
      <c r="G108" s="459"/>
      <c r="H108" s="459"/>
      <c r="I108" s="460"/>
      <c r="J108" s="7"/>
    </row>
    <row r="109" spans="1:10" ht="14.5" x14ac:dyDescent="0.35">
      <c r="A109" s="458" t="s">
        <v>94</v>
      </c>
      <c r="B109" s="459"/>
      <c r="C109" s="459"/>
      <c r="D109" s="459"/>
      <c r="E109" s="459"/>
      <c r="F109" s="459"/>
      <c r="G109" s="459"/>
      <c r="H109" s="459"/>
      <c r="I109" s="460"/>
      <c r="J109" s="7"/>
    </row>
    <row r="110" spans="1:10" ht="14.5" x14ac:dyDescent="0.35">
      <c r="A110" s="461" t="s">
        <v>46</v>
      </c>
      <c r="B110" s="462"/>
      <c r="C110" s="462"/>
      <c r="D110" s="462"/>
      <c r="E110" s="462"/>
      <c r="F110" s="462"/>
      <c r="G110" s="462"/>
      <c r="H110" s="462"/>
      <c r="I110" s="463"/>
      <c r="J110" s="7"/>
    </row>
    <row r="111" spans="1:10" ht="14.5" x14ac:dyDescent="0.35">
      <c r="A111" s="7"/>
      <c r="B111" s="7"/>
      <c r="C111" s="7"/>
      <c r="D111" s="7"/>
      <c r="E111" s="7"/>
      <c r="F111" s="7"/>
      <c r="G111" s="7"/>
      <c r="H111" s="7"/>
      <c r="I111" s="7"/>
      <c r="J111" s="7"/>
    </row>
    <row r="112" spans="1:10" ht="14.5" x14ac:dyDescent="0.35">
      <c r="A112" s="9" t="str">
        <f>"6. What was the change in benefit factor for " &amp;year-3&amp; " to " &amp;year-2&amp;", " &amp;year-2&amp;" to " &amp;year-1&amp; ", and your estimate for " &amp;year-1&amp;" to "&amp;year&amp;"?"</f>
        <v>6. What was the change in benefit factor for 2018 to 2019, 2019 to 2020, and your estimate for 2020 to 2021?</v>
      </c>
      <c r="B112" s="7"/>
      <c r="C112" s="7"/>
      <c r="D112" s="7"/>
      <c r="E112" s="7"/>
      <c r="F112" s="29"/>
      <c r="G112" s="7"/>
      <c r="H112" s="7"/>
      <c r="I112" s="7"/>
      <c r="J112" s="7"/>
    </row>
    <row r="113" spans="1:10" ht="14.5" x14ac:dyDescent="0.35">
      <c r="A113" s="7"/>
      <c r="B113" s="7"/>
      <c r="C113" s="7"/>
      <c r="D113" s="7"/>
      <c r="E113" s="7"/>
      <c r="F113" s="30"/>
      <c r="G113" s="7"/>
      <c r="H113" s="7"/>
      <c r="I113" s="7"/>
      <c r="J113" s="7"/>
    </row>
    <row r="114" spans="1:10" ht="14.5" x14ac:dyDescent="0.35">
      <c r="A114" s="7"/>
      <c r="B114" s="510" t="s">
        <v>195</v>
      </c>
      <c r="C114" s="510"/>
      <c r="D114" s="510"/>
      <c r="E114" s="511" t="s">
        <v>147</v>
      </c>
      <c r="F114" s="511"/>
      <c r="G114" s="511"/>
      <c r="H114" s="511"/>
      <c r="I114" s="511"/>
      <c r="J114" s="7"/>
    </row>
    <row r="115" spans="1:10" ht="15" thickBot="1" x14ac:dyDescent="0.4">
      <c r="A115" s="7"/>
      <c r="B115" s="38" t="str">
        <f>year -3 &amp;" to " &amp;year-2</f>
        <v>2018 to 2019</v>
      </c>
      <c r="C115" s="38" t="str">
        <f>year-2 &amp;" to " &amp;year-1</f>
        <v>2019 to 2020</v>
      </c>
      <c r="D115" s="38" t="str">
        <f>year-1 &amp;" to " &amp;year&amp; "**"</f>
        <v>2020 to 2021**</v>
      </c>
      <c r="E115" s="7"/>
      <c r="F115" s="7"/>
      <c r="G115" s="7"/>
      <c r="H115" s="7"/>
      <c r="I115" s="7"/>
      <c r="J115" s="7"/>
    </row>
    <row r="116" spans="1:10" ht="15" thickBot="1" x14ac:dyDescent="0.4">
      <c r="A116" s="372" t="s">
        <v>33</v>
      </c>
      <c r="B116" s="39">
        <v>-2</v>
      </c>
      <c r="C116" s="39">
        <v>-1</v>
      </c>
      <c r="D116" s="230">
        <v>0.5</v>
      </c>
      <c r="E116" s="7"/>
      <c r="F116" s="7"/>
      <c r="G116" s="7"/>
      <c r="H116" s="8"/>
      <c r="I116" s="40"/>
      <c r="J116" s="7"/>
    </row>
    <row r="117" spans="1:10" ht="15" thickBot="1" x14ac:dyDescent="0.4">
      <c r="A117" s="231" t="s">
        <v>190</v>
      </c>
      <c r="B117" s="230">
        <v>-3</v>
      </c>
      <c r="C117" s="230">
        <v>-1.5</v>
      </c>
      <c r="D117" s="230">
        <v>1</v>
      </c>
      <c r="E117" s="7"/>
      <c r="F117" s="7"/>
      <c r="G117" s="7"/>
      <c r="H117" s="8"/>
      <c r="I117" s="369"/>
      <c r="J117" s="7"/>
    </row>
    <row r="118" spans="1:10" ht="15" thickBot="1" x14ac:dyDescent="0.4">
      <c r="A118" s="372" t="s">
        <v>34</v>
      </c>
      <c r="B118" s="39">
        <v>-4</v>
      </c>
      <c r="C118" s="39">
        <v>-2</v>
      </c>
      <c r="D118" s="230">
        <v>1.5</v>
      </c>
      <c r="E118" s="7"/>
      <c r="F118" s="7"/>
      <c r="G118" s="7"/>
      <c r="H118" s="7"/>
      <c r="I118" s="7"/>
      <c r="J118" s="7"/>
    </row>
    <row r="119" spans="1:10" ht="15" thickBot="1" x14ac:dyDescent="0.4">
      <c r="A119" s="372" t="s">
        <v>50</v>
      </c>
      <c r="B119" s="35">
        <v>0</v>
      </c>
      <c r="C119" s="35">
        <v>0</v>
      </c>
      <c r="D119" s="35">
        <v>0</v>
      </c>
      <c r="E119" s="7"/>
      <c r="F119" s="7"/>
      <c r="G119" s="7"/>
      <c r="H119" s="7"/>
      <c r="I119" s="7"/>
      <c r="J119" s="7"/>
    </row>
    <row r="120" spans="1:10" ht="14.5" x14ac:dyDescent="0.35">
      <c r="A120" s="372" t="s">
        <v>49</v>
      </c>
      <c r="B120" s="34">
        <f>IF(I116=FALSE,((H32*(C27+B116))+(H33*(C28+B117))+(H34*(C29+B118)))/(H32*C27+H33*C28+H34*C29),0)</f>
        <v>0.98538836251668582</v>
      </c>
      <c r="C120" s="255">
        <f>IF(I116=FALSE,((H37*(C32+C116))+(H38*(C33+C117))+(H39*(C34+C118)))/(H37*C32+H38*C33+H39*C34),0)</f>
        <v>0.9930559069061472</v>
      </c>
      <c r="D120" s="243">
        <f>IF(I116=FALSE, ((D42*(C37+D116))+(D43*(C38+D117))+(D44*(C39+D118)))/(D42*C37+C39*D44+D43*C38), 0)</f>
        <v>1.0038314176245211</v>
      </c>
      <c r="E120" s="7"/>
      <c r="F120" s="7"/>
      <c r="G120" s="7"/>
      <c r="H120" s="7"/>
      <c r="I120" s="7"/>
      <c r="J120" s="7"/>
    </row>
    <row r="121" spans="1:10" ht="14.5" x14ac:dyDescent="0.35">
      <c r="A121" s="240" t="s">
        <v>169</v>
      </c>
      <c r="B121" s="7"/>
      <c r="C121" s="7"/>
      <c r="D121" s="7"/>
      <c r="E121" s="7"/>
      <c r="F121" s="7"/>
      <c r="G121" s="7"/>
      <c r="H121" s="7"/>
      <c r="I121" s="7"/>
      <c r="J121" s="7"/>
    </row>
    <row r="122" spans="1:10" ht="14.5" x14ac:dyDescent="0.35">
      <c r="A122" s="241" t="s">
        <v>332</v>
      </c>
      <c r="B122" s="7"/>
      <c r="C122" s="7"/>
      <c r="D122" s="7"/>
      <c r="E122" s="7"/>
      <c r="F122" s="7"/>
      <c r="G122" s="7"/>
      <c r="H122" s="7"/>
      <c r="I122" s="7"/>
      <c r="J122" s="7"/>
    </row>
    <row r="123" spans="1:10" ht="14.5" x14ac:dyDescent="0.35">
      <c r="A123" s="241"/>
      <c r="B123" s="7"/>
      <c r="C123" s="7"/>
      <c r="D123" s="7"/>
      <c r="E123" s="7"/>
      <c r="F123" s="7"/>
      <c r="G123" s="7"/>
      <c r="H123" s="7"/>
      <c r="I123" s="7"/>
      <c r="J123" s="7"/>
    </row>
    <row r="124" spans="1:10" ht="14.5" x14ac:dyDescent="0.35">
      <c r="A124" s="7"/>
      <c r="B124" s="7"/>
      <c r="C124" s="7"/>
      <c r="D124" s="7"/>
      <c r="E124" s="7"/>
      <c r="F124" s="7"/>
      <c r="G124" s="7"/>
      <c r="H124" s="7"/>
      <c r="I124" s="7"/>
      <c r="J124" s="7"/>
    </row>
    <row r="125" spans="1:10" ht="14.5" x14ac:dyDescent="0.35">
      <c r="A125" s="9" t="s">
        <v>212</v>
      </c>
      <c r="B125" s="29"/>
      <c r="C125" s="7"/>
      <c r="D125" s="16" t="s">
        <v>51</v>
      </c>
      <c r="E125" s="504"/>
      <c r="F125" s="16" t="s">
        <v>52</v>
      </c>
      <c r="G125" s="504"/>
      <c r="H125" s="16" t="s">
        <v>53</v>
      </c>
      <c r="I125" s="7"/>
      <c r="J125" s="7"/>
    </row>
    <row r="126" spans="1:10" ht="15" thickBot="1" x14ac:dyDescent="0.4">
      <c r="A126" s="7"/>
      <c r="B126" s="7"/>
      <c r="C126" s="7"/>
      <c r="D126" s="370" t="s">
        <v>54</v>
      </c>
      <c r="E126" s="504"/>
      <c r="F126" s="370" t="s">
        <v>54</v>
      </c>
      <c r="G126" s="504"/>
      <c r="H126" s="370" t="s">
        <v>54</v>
      </c>
      <c r="I126" s="7"/>
      <c r="J126" s="7"/>
    </row>
    <row r="127" spans="1:10" ht="15" thickBot="1" x14ac:dyDescent="0.4">
      <c r="A127" s="7"/>
      <c r="B127" s="509" t="str">
        <f>year-3&amp;" to "  &amp;year-2</f>
        <v>2018 to 2019</v>
      </c>
      <c r="C127" s="509"/>
      <c r="D127" s="41">
        <f>F127*H127</f>
        <v>1.0506</v>
      </c>
      <c r="E127" s="20" t="s">
        <v>55</v>
      </c>
      <c r="F127" s="42">
        <v>1.03</v>
      </c>
      <c r="G127" s="20" t="s">
        <v>40</v>
      </c>
      <c r="H127" s="42">
        <v>1.02</v>
      </c>
      <c r="I127" s="7"/>
      <c r="J127" s="7"/>
    </row>
    <row r="128" spans="1:10" ht="15" thickBot="1" x14ac:dyDescent="0.4">
      <c r="A128" s="7"/>
      <c r="B128" s="509" t="str">
        <f>"Projected " &amp;year-2&amp; " to " &amp;year-1</f>
        <v>Projected 2019 to 2020</v>
      </c>
      <c r="C128" s="509"/>
      <c r="D128" s="41">
        <f>F128*H128</f>
        <v>1.0660499999999999</v>
      </c>
      <c r="E128" s="20" t="s">
        <v>55</v>
      </c>
      <c r="F128" s="42">
        <v>1.0349999999999999</v>
      </c>
      <c r="G128" s="20" t="s">
        <v>40</v>
      </c>
      <c r="H128" s="42">
        <v>1.03</v>
      </c>
      <c r="I128" s="7"/>
      <c r="J128" s="7"/>
    </row>
    <row r="129" spans="1:10" ht="15" thickBot="1" x14ac:dyDescent="0.4">
      <c r="A129" s="7"/>
      <c r="B129" s="509" t="str">
        <f>"Projected " &amp;year-1&amp;" to " &amp;year</f>
        <v>Projected 2020 to 2021</v>
      </c>
      <c r="C129" s="509"/>
      <c r="D129" s="41">
        <f>F129*H129</f>
        <v>1.0816000000000001</v>
      </c>
      <c r="E129" s="20" t="s">
        <v>55</v>
      </c>
      <c r="F129" s="42">
        <v>1.04</v>
      </c>
      <c r="G129" s="20" t="s">
        <v>40</v>
      </c>
      <c r="H129" s="42">
        <v>1.04</v>
      </c>
      <c r="I129" s="7"/>
      <c r="J129" s="7"/>
    </row>
    <row r="130" spans="1:10" ht="14.5" x14ac:dyDescent="0.35">
      <c r="A130" s="7"/>
      <c r="B130" s="372"/>
      <c r="C130" s="372"/>
      <c r="D130" s="41"/>
      <c r="E130" s="222"/>
      <c r="F130" s="303"/>
      <c r="G130" s="222"/>
      <c r="H130" s="303"/>
      <c r="I130" s="7"/>
      <c r="J130" s="7"/>
    </row>
    <row r="131" spans="1:10" ht="15" thickBot="1" x14ac:dyDescent="0.4">
      <c r="A131" s="432" t="s">
        <v>47</v>
      </c>
      <c r="B131" s="433"/>
      <c r="C131" s="433"/>
      <c r="D131" s="433"/>
      <c r="E131" s="433"/>
      <c r="F131" s="433"/>
      <c r="G131" s="433"/>
      <c r="H131" s="433"/>
      <c r="I131" s="434"/>
      <c r="J131" s="7"/>
    </row>
    <row r="132" spans="1:10" ht="15" thickTop="1" x14ac:dyDescent="0.35">
      <c r="A132" s="435" t="s">
        <v>364</v>
      </c>
      <c r="B132" s="436"/>
      <c r="C132" s="436"/>
      <c r="D132" s="436"/>
      <c r="E132" s="436"/>
      <c r="F132" s="436"/>
      <c r="G132" s="436"/>
      <c r="H132" s="436"/>
      <c r="I132" s="437"/>
      <c r="J132" s="7"/>
    </row>
    <row r="133" spans="1:10" ht="14.5" x14ac:dyDescent="0.35">
      <c r="A133" s="438"/>
      <c r="B133" s="439"/>
      <c r="C133" s="439"/>
      <c r="D133" s="439"/>
      <c r="E133" s="439"/>
      <c r="F133" s="439"/>
      <c r="G133" s="439"/>
      <c r="H133" s="439"/>
      <c r="I133" s="440"/>
      <c r="J133" s="7"/>
    </row>
    <row r="134" spans="1:10" ht="14.5" x14ac:dyDescent="0.35">
      <c r="A134" s="7"/>
      <c r="B134" s="7"/>
      <c r="C134" s="7"/>
      <c r="D134" s="7"/>
      <c r="E134" s="29"/>
      <c r="F134" s="7"/>
      <c r="G134" s="7"/>
      <c r="H134" s="7"/>
      <c r="I134" s="7"/>
      <c r="J134" s="7"/>
    </row>
    <row r="135" spans="1:10" ht="14.5" x14ac:dyDescent="0.35">
      <c r="A135" s="9" t="s">
        <v>335</v>
      </c>
      <c r="B135" s="7"/>
      <c r="C135" s="7"/>
      <c r="D135" s="7"/>
      <c r="E135" s="7"/>
      <c r="F135" s="7"/>
      <c r="G135" s="7"/>
      <c r="H135" s="7"/>
      <c r="I135" s="7"/>
      <c r="J135" s="7"/>
    </row>
    <row r="136" spans="1:10" ht="14.5" x14ac:dyDescent="0.35">
      <c r="A136" s="7"/>
      <c r="B136" s="7"/>
      <c r="C136" s="7"/>
      <c r="D136" s="7"/>
      <c r="E136" s="7"/>
      <c r="F136" s="7"/>
      <c r="G136" s="7"/>
      <c r="H136" s="7"/>
      <c r="I136" s="7"/>
      <c r="J136" s="7"/>
    </row>
    <row r="137" spans="1:10" ht="15" thickBot="1" x14ac:dyDescent="0.4">
      <c r="A137" s="7"/>
      <c r="B137" s="7"/>
      <c r="C137" s="7"/>
      <c r="D137" s="373" t="s">
        <v>56</v>
      </c>
      <c r="E137" s="373" t="s">
        <v>48</v>
      </c>
      <c r="F137" s="373" t="s">
        <v>57</v>
      </c>
      <c r="G137" s="373" t="s">
        <v>58</v>
      </c>
      <c r="H137" s="373" t="s">
        <v>59</v>
      </c>
      <c r="I137" s="373" t="s">
        <v>60</v>
      </c>
      <c r="J137" s="7"/>
    </row>
    <row r="138" spans="1:10" ht="15" thickBot="1" x14ac:dyDescent="0.4">
      <c r="A138" s="7"/>
      <c r="B138" s="509" t="str">
        <f>year-3&amp;" to "  &amp;year-2</f>
        <v>2018 to 2019</v>
      </c>
      <c r="C138" s="509"/>
      <c r="D138" s="34">
        <f>(1+(($F138-1)*$H138)+(($G138-1)*$I138))/($F138+$G138-1)</f>
        <v>1.0069617941130995</v>
      </c>
      <c r="E138" s="34">
        <f>B104</f>
        <v>1.0259834269079275</v>
      </c>
      <c r="F138" s="34">
        <f>$E138-$G138+1</f>
        <v>1.0315434269079276</v>
      </c>
      <c r="G138" s="35">
        <v>0.99443999999999999</v>
      </c>
      <c r="H138" s="35">
        <v>1.2</v>
      </c>
      <c r="I138" s="35">
        <v>0.85</v>
      </c>
      <c r="J138" s="7"/>
    </row>
    <row r="139" spans="1:10" ht="15" thickBot="1" x14ac:dyDescent="0.4">
      <c r="A139" s="7"/>
      <c r="B139" s="509" t="str">
        <f>"Projected " &amp;year-2&amp; " to " &amp;year-1</f>
        <v>Projected 2019 to 2020</v>
      </c>
      <c r="C139" s="509"/>
      <c r="D139" s="34">
        <f>(1+(($F139-1)*$H139)+(($G139-1)*$I139))/($F139+$G139-1)</f>
        <v>1.0044343030609664</v>
      </c>
      <c r="E139" s="34">
        <f>D104</f>
        <v>1.0226742375087832</v>
      </c>
      <c r="F139" s="34">
        <f>$E139-$G139+1</f>
        <v>1.0226742375087832</v>
      </c>
      <c r="G139" s="35">
        <v>1</v>
      </c>
      <c r="H139" s="35">
        <v>1.2</v>
      </c>
      <c r="I139" s="35">
        <v>1</v>
      </c>
      <c r="J139" s="7"/>
    </row>
    <row r="140" spans="1:10" ht="15" thickBot="1" x14ac:dyDescent="0.4">
      <c r="A140" s="7"/>
      <c r="B140" s="509" t="str">
        <f>"Projected " &amp;year-1&amp;" to " &amp;year</f>
        <v>Projected 2020 to 2021</v>
      </c>
      <c r="C140" s="509"/>
      <c r="D140" s="34">
        <f>(1+(($F140-1)*$H140)+(($G140-1)*$I140))/($F140+$G140-1)</f>
        <v>1.0382311621966795</v>
      </c>
      <c r="E140" s="34">
        <f>F104</f>
        <v>1.0199739470256188</v>
      </c>
      <c r="F140" s="34">
        <f>$E140-$G140+1</f>
        <v>1.1199739470256187</v>
      </c>
      <c r="G140" s="35">
        <v>0.9</v>
      </c>
      <c r="H140" s="35">
        <v>1.2</v>
      </c>
      <c r="I140" s="35">
        <v>0.85</v>
      </c>
      <c r="J140" s="7"/>
    </row>
    <row r="141" spans="1:10" ht="14.5" x14ac:dyDescent="0.35">
      <c r="A141" s="30"/>
      <c r="B141" s="30"/>
      <c r="C141" s="30"/>
      <c r="D141" s="30"/>
      <c r="E141" s="7"/>
      <c r="F141" s="7"/>
      <c r="G141" s="7"/>
      <c r="H141" s="7"/>
      <c r="I141" s="7"/>
      <c r="J141" s="7"/>
    </row>
    <row r="142" spans="1:10" ht="14.5" x14ac:dyDescent="0.35">
      <c r="A142" s="7"/>
      <c r="B142" s="7"/>
      <c r="C142" s="7"/>
      <c r="D142" s="7"/>
      <c r="E142" s="7"/>
      <c r="F142" s="7"/>
      <c r="G142" s="7"/>
      <c r="H142" s="7"/>
      <c r="I142" s="7"/>
      <c r="J142" s="7"/>
    </row>
    <row r="143" spans="1:10" ht="14.5" x14ac:dyDescent="0.35">
      <c r="A143" s="9" t="s">
        <v>213</v>
      </c>
      <c r="B143" s="7"/>
      <c r="C143" s="7"/>
      <c r="D143" s="7"/>
      <c r="E143" s="7"/>
      <c r="F143" s="7"/>
      <c r="G143" s="7"/>
      <c r="H143" s="7"/>
      <c r="I143" s="7"/>
      <c r="J143" s="7"/>
    </row>
    <row r="144" spans="1:10" ht="15" thickBot="1" x14ac:dyDescent="0.4">
      <c r="A144" s="7"/>
      <c r="B144" s="7"/>
      <c r="C144" s="7"/>
      <c r="D144" s="7"/>
      <c r="E144" s="7"/>
      <c r="F144" s="7"/>
      <c r="G144" s="7"/>
      <c r="H144" s="7"/>
      <c r="I144" s="7"/>
      <c r="J144" s="7"/>
    </row>
    <row r="145" spans="1:10" ht="15" thickBot="1" x14ac:dyDescent="0.4">
      <c r="A145" s="7"/>
      <c r="B145" s="7"/>
      <c r="C145" s="7"/>
      <c r="D145" s="373" t="s">
        <v>61</v>
      </c>
      <c r="E145" s="43"/>
      <c r="F145" s="43"/>
      <c r="G145" s="43"/>
      <c r="H145" s="7"/>
      <c r="I145" s="7"/>
      <c r="J145" s="7"/>
    </row>
    <row r="146" spans="1:10" ht="15" thickBot="1" x14ac:dyDescent="0.4">
      <c r="A146" s="7"/>
      <c r="B146" s="509" t="str">
        <f>year-3&amp;" to "  &amp;year-2</f>
        <v>2018 to 2019</v>
      </c>
      <c r="C146" s="509"/>
      <c r="D146" s="34">
        <f>E146*F146*G146</f>
        <v>1</v>
      </c>
      <c r="E146" s="35">
        <v>1</v>
      </c>
      <c r="F146" s="35">
        <v>1</v>
      </c>
      <c r="G146" s="35">
        <v>1</v>
      </c>
      <c r="H146" s="7"/>
      <c r="I146" s="7"/>
      <c r="J146" s="7"/>
    </row>
    <row r="147" spans="1:10" ht="15" thickBot="1" x14ac:dyDescent="0.4">
      <c r="A147" s="7"/>
      <c r="B147" s="509" t="str">
        <f>"Projected " &amp;year-2&amp; " to " &amp;year-1</f>
        <v>Projected 2019 to 2020</v>
      </c>
      <c r="C147" s="509"/>
      <c r="D147" s="34">
        <f>E147*F147*G147</f>
        <v>1</v>
      </c>
      <c r="E147" s="35">
        <v>1</v>
      </c>
      <c r="F147" s="35">
        <v>1</v>
      </c>
      <c r="G147" s="35">
        <v>1</v>
      </c>
      <c r="H147" s="7"/>
      <c r="I147" s="7"/>
      <c r="J147" s="7"/>
    </row>
    <row r="148" spans="1:10" ht="15" thickBot="1" x14ac:dyDescent="0.4">
      <c r="A148" s="7"/>
      <c r="B148" s="509" t="str">
        <f>"Projected " &amp;year-1&amp;" to " &amp;year</f>
        <v>Projected 2020 to 2021</v>
      </c>
      <c r="C148" s="509"/>
      <c r="D148" s="34">
        <f>E148*F148*G148</f>
        <v>1</v>
      </c>
      <c r="E148" s="35">
        <v>1</v>
      </c>
      <c r="F148" s="35">
        <v>1</v>
      </c>
      <c r="G148" s="35">
        <v>1</v>
      </c>
      <c r="H148" s="7"/>
      <c r="I148" s="7"/>
      <c r="J148" s="7"/>
    </row>
    <row r="149" spans="1:10" ht="14.5" x14ac:dyDescent="0.35">
      <c r="A149" s="30"/>
      <c r="B149" s="7"/>
      <c r="C149" s="7"/>
      <c r="D149" s="7"/>
      <c r="E149" s="7"/>
      <c r="F149" s="7"/>
      <c r="G149" s="7"/>
      <c r="H149" s="7"/>
      <c r="I149" s="7"/>
      <c r="J149" s="7"/>
    </row>
    <row r="150" spans="1:10" ht="14.5" x14ac:dyDescent="0.35">
      <c r="A150" s="7"/>
      <c r="B150" s="7"/>
      <c r="C150" s="7"/>
      <c r="D150" s="7"/>
      <c r="E150" s="7"/>
      <c r="F150" s="7"/>
      <c r="G150" s="7"/>
      <c r="H150" s="7"/>
      <c r="I150" s="7"/>
      <c r="J150" s="7"/>
    </row>
    <row r="151" spans="1:10" ht="14.5" x14ac:dyDescent="0.35">
      <c r="A151" s="9" t="s">
        <v>214</v>
      </c>
      <c r="B151" s="7"/>
      <c r="C151" s="7"/>
      <c r="D151" s="7"/>
      <c r="E151" s="7"/>
      <c r="F151" s="7"/>
      <c r="G151" s="7"/>
      <c r="H151" s="7"/>
      <c r="I151" s="7"/>
      <c r="J151" s="7"/>
    </row>
    <row r="152" spans="1:10" ht="15" thickBot="1" x14ac:dyDescent="0.4">
      <c r="A152" s="7"/>
      <c r="B152" s="7"/>
      <c r="C152" s="7"/>
      <c r="D152" s="7"/>
      <c r="E152" s="7"/>
      <c r="F152" s="7"/>
      <c r="G152" s="7"/>
      <c r="H152" s="7"/>
      <c r="I152" s="7"/>
      <c r="J152" s="7"/>
    </row>
    <row r="153" spans="1:10" ht="15.75" customHeight="1" thickBot="1" x14ac:dyDescent="0.4">
      <c r="A153" s="7"/>
      <c r="B153" s="508" t="s">
        <v>62</v>
      </c>
      <c r="C153" s="508"/>
      <c r="D153" s="508"/>
      <c r="E153" s="508"/>
      <c r="F153" s="508"/>
      <c r="G153" s="16"/>
      <c r="H153" s="44" t="s">
        <v>144</v>
      </c>
      <c r="I153" s="45"/>
      <c r="J153" s="7"/>
    </row>
    <row r="154" spans="1:10" ht="14.5" x14ac:dyDescent="0.35">
      <c r="A154" s="7"/>
      <c r="B154" s="373" t="s">
        <v>28</v>
      </c>
      <c r="C154" s="373" t="s">
        <v>63</v>
      </c>
      <c r="D154" s="373" t="s">
        <v>51</v>
      </c>
      <c r="E154" s="373" t="s">
        <v>56</v>
      </c>
      <c r="F154" s="373" t="s">
        <v>64</v>
      </c>
      <c r="G154" s="373" t="s">
        <v>65</v>
      </c>
      <c r="H154" s="46" t="s">
        <v>215</v>
      </c>
      <c r="I154" s="47"/>
      <c r="J154" s="7"/>
    </row>
    <row r="155" spans="1:10" ht="15" thickBot="1" x14ac:dyDescent="0.4">
      <c r="A155" s="372" t="str">
        <f>year-3&amp;"   "</f>
        <v xml:space="preserve">2018   </v>
      </c>
      <c r="B155" s="7"/>
      <c r="C155" s="7"/>
      <c r="D155" s="7"/>
      <c r="E155" s="7"/>
      <c r="F155" s="7"/>
      <c r="G155" s="48">
        <f>E73</f>
        <v>452000000</v>
      </c>
      <c r="H155" s="49" t="s">
        <v>145</v>
      </c>
      <c r="I155" s="50"/>
      <c r="J155" s="7"/>
    </row>
    <row r="156" spans="1:10" ht="14.5" x14ac:dyDescent="0.35">
      <c r="A156" s="372" t="str">
        <f>year-2&amp;" x"</f>
        <v>2019 x</v>
      </c>
      <c r="B156" s="34">
        <f>B104</f>
        <v>1.0259834269079275</v>
      </c>
      <c r="C156" s="34">
        <f>IF(B119=0,B120,B119)</f>
        <v>0.98538836251668582</v>
      </c>
      <c r="D156" s="34">
        <f>IF(ABS((G73/(B156*C156*G155*F156*E156))-D127)&gt;0.012,0,G73/(B156*C156*G155*F156*E156))</f>
        <v>1.0431386454857698</v>
      </c>
      <c r="E156" s="34">
        <f>D138</f>
        <v>1.0069617941130995</v>
      </c>
      <c r="F156" s="34">
        <f>D146</f>
        <v>1</v>
      </c>
      <c r="G156" s="48">
        <f>G155*B156*C156*D156*E156*F156</f>
        <v>479999999.99999988</v>
      </c>
      <c r="H156" s="7"/>
      <c r="I156" s="7"/>
      <c r="J156" s="7"/>
    </row>
    <row r="157" spans="1:10" ht="14.5" x14ac:dyDescent="0.35">
      <c r="A157" s="372" t="str">
        <f>year-1&amp;" x"</f>
        <v>2020 x</v>
      </c>
      <c r="B157" s="34">
        <f>D104</f>
        <v>1.0226742375087832</v>
      </c>
      <c r="C157" s="34">
        <f>IF(C119=0,C120,C119)</f>
        <v>0.9930559069061472</v>
      </c>
      <c r="D157" s="34">
        <f>D128</f>
        <v>1.0660499999999999</v>
      </c>
      <c r="E157" s="34">
        <f>D139</f>
        <v>1.0044343030609664</v>
      </c>
      <c r="F157" s="34">
        <f>D147</f>
        <v>1</v>
      </c>
      <c r="G157" s="48">
        <f>G156*B157*C157*D157*E157*F157</f>
        <v>521976994.83200473</v>
      </c>
      <c r="H157" s="7"/>
      <c r="I157" s="396"/>
      <c r="J157" s="7"/>
    </row>
    <row r="158" spans="1:10" ht="14.5" x14ac:dyDescent="0.35">
      <c r="A158" s="372" t="str">
        <f>year&amp;" x"</f>
        <v>2021 x</v>
      </c>
      <c r="B158" s="34">
        <f>F104</f>
        <v>1.0199739470256188</v>
      </c>
      <c r="C158" s="34">
        <f>IF(D119=0,D120,D119)</f>
        <v>1.0038314176245211</v>
      </c>
      <c r="D158" s="34">
        <f>D129</f>
        <v>1.0816000000000001</v>
      </c>
      <c r="E158" s="34">
        <f>D140</f>
        <v>1.0382311621966795</v>
      </c>
      <c r="F158" s="34">
        <f>D148</f>
        <v>1</v>
      </c>
      <c r="G158" s="48">
        <f>G157*B158*C158*D158*E158*F158</f>
        <v>600152976.08012497</v>
      </c>
      <c r="H158" s="7"/>
      <c r="I158" s="7"/>
      <c r="J158" s="7"/>
    </row>
    <row r="159" spans="1:10" ht="14.5" x14ac:dyDescent="0.35">
      <c r="A159" s="7"/>
      <c r="B159" s="7"/>
      <c r="C159" s="7"/>
      <c r="D159" s="7"/>
      <c r="E159" s="7"/>
      <c r="F159" s="7"/>
      <c r="G159" s="7"/>
      <c r="H159" s="7"/>
      <c r="I159" s="7"/>
      <c r="J159" s="7"/>
    </row>
    <row r="160" spans="1:10" ht="14.5" x14ac:dyDescent="0.35">
      <c r="A160" s="9" t="str">
        <f>"11. December 31, " &amp;year-2&amp; " Special Reserve"</f>
        <v>11. December 31, 2019 Special Reserve</v>
      </c>
      <c r="B160" s="7"/>
      <c r="C160" s="7"/>
      <c r="D160" s="7"/>
      <c r="E160" s="7"/>
      <c r="F160" s="7"/>
      <c r="G160" s="7"/>
      <c r="H160" s="7"/>
      <c r="I160" s="264"/>
      <c r="J160" s="7"/>
    </row>
    <row r="161" spans="1:10" ht="14.5" x14ac:dyDescent="0.35">
      <c r="A161" s="9" t="str">
        <f>"   (a) " &amp;year-4&amp;", " &amp;year-3&amp;" and " &amp;year-2&amp;" Claims Paid Through 12/31/" &amp;year-2</f>
        <v xml:space="preserve">   (a) 2017, 2018 and 2019 Claims Paid Through 12/31/2019</v>
      </c>
      <c r="B161" s="7"/>
      <c r="C161" s="7"/>
      <c r="D161" s="7"/>
      <c r="E161" s="7"/>
      <c r="F161" s="48">
        <f>C65+E65+G65</f>
        <v>1290000000</v>
      </c>
      <c r="G161" s="7"/>
      <c r="H161" s="7"/>
      <c r="I161" s="7"/>
      <c r="J161" s="7"/>
    </row>
    <row r="162" spans="1:10" ht="14.5" x14ac:dyDescent="0.35">
      <c r="A162" s="9" t="str">
        <f>"   (b) " &amp;year-4&amp;", " &amp;year-3&amp;" and " &amp;year-2&amp;" Estimated Incurred Claims"</f>
        <v xml:space="preserve">   (b) 2017, 2018 and 2019 Estimated Incurred Claims</v>
      </c>
      <c r="B162" s="7"/>
      <c r="C162" s="7"/>
      <c r="D162" s="7"/>
      <c r="E162" s="7"/>
      <c r="F162" s="48">
        <f>C73+E73+G73</f>
        <v>1372000000</v>
      </c>
      <c r="G162" s="242"/>
      <c r="H162" s="7"/>
      <c r="I162" s="7"/>
      <c r="J162" s="7"/>
    </row>
    <row r="163" spans="1:10" ht="15" thickBot="1" x14ac:dyDescent="0.4">
      <c r="A163" s="9" t="s">
        <v>66</v>
      </c>
      <c r="B163" s="7"/>
      <c r="C163" s="7"/>
      <c r="D163" s="7"/>
      <c r="E163" s="7"/>
      <c r="F163" s="48">
        <f>F162-F161</f>
        <v>82000000</v>
      </c>
      <c r="G163" s="7"/>
      <c r="H163" s="7"/>
      <c r="I163" s="7"/>
      <c r="J163" s="7"/>
    </row>
    <row r="164" spans="1:10" ht="15" thickBot="1" x14ac:dyDescent="0.4">
      <c r="A164" s="9" t="str">
        <f>"   (d) 12/31/" &amp;year-2&amp;" Accounting Stmt Accrued Claims Reserve"</f>
        <v xml:space="preserve">   (d) 12/31/2019 Accounting Stmt Accrued Claims Reserve</v>
      </c>
      <c r="B164" s="7"/>
      <c r="C164" s="7"/>
      <c r="D164" s="7"/>
      <c r="E164" s="7"/>
      <c r="F164" s="15">
        <v>119500000</v>
      </c>
      <c r="G164" s="7"/>
      <c r="H164" s="7"/>
      <c r="I164" s="7"/>
      <c r="J164" s="7"/>
    </row>
    <row r="165" spans="1:10" ht="15" thickBot="1" x14ac:dyDescent="0.4">
      <c r="A165" s="9" t="str">
        <f>"   (e) 12/31/" &amp;year-2&amp;" Accounting Stmt Accrued Expense Reserve"</f>
        <v xml:space="preserve">   (e) 12/31/2019 Accounting Stmt Accrued Expense Reserve</v>
      </c>
      <c r="B165" s="7"/>
      <c r="C165" s="7"/>
      <c r="D165" s="7"/>
      <c r="E165" s="7"/>
      <c r="F165" s="15">
        <v>8000000</v>
      </c>
      <c r="G165" s="7"/>
      <c r="H165" s="7"/>
      <c r="I165" s="7"/>
      <c r="J165" s="7"/>
    </row>
    <row r="166" spans="1:10" ht="15" thickBot="1" x14ac:dyDescent="0.4">
      <c r="A166" s="9" t="str">
        <f>"   (f) 12/31/" &amp;year-2&amp;" Accounting Stmt Special Reserve"</f>
        <v xml:space="preserve">   (f) 12/31/2019 Accounting Stmt Special Reserve</v>
      </c>
      <c r="B166" s="7"/>
      <c r="C166" s="7"/>
      <c r="D166" s="7"/>
      <c r="E166" s="7"/>
      <c r="F166" s="15">
        <v>9500000</v>
      </c>
      <c r="G166" s="7"/>
      <c r="H166" s="7"/>
      <c r="I166" s="7"/>
      <c r="J166" s="7"/>
    </row>
    <row r="167" spans="1:10" ht="14.5" x14ac:dyDescent="0.35">
      <c r="A167" s="53" t="s">
        <v>67</v>
      </c>
      <c r="B167" s="7"/>
      <c r="C167" s="7"/>
      <c r="D167" s="7"/>
      <c r="E167" s="7"/>
      <c r="F167" s="48">
        <f>F164+F165+F166-F163-F165</f>
        <v>47000000</v>
      </c>
      <c r="G167" s="7"/>
      <c r="H167" s="7"/>
      <c r="I167" s="7"/>
      <c r="J167" s="7"/>
    </row>
    <row r="168" spans="1:10" ht="14.5" x14ac:dyDescent="0.35">
      <c r="A168" s="7"/>
      <c r="B168" s="7"/>
      <c r="C168" s="7"/>
      <c r="D168" s="7"/>
      <c r="E168" s="7"/>
      <c r="F168" s="7"/>
      <c r="G168" s="7"/>
      <c r="H168" s="7"/>
      <c r="I168" s="7"/>
      <c r="J168" s="7"/>
    </row>
    <row r="169" spans="1:10" ht="14.5" x14ac:dyDescent="0.35">
      <c r="A169" s="9" t="s">
        <v>216</v>
      </c>
      <c r="B169" s="7"/>
      <c r="C169" s="7"/>
      <c r="D169" s="7"/>
      <c r="E169" s="7"/>
      <c r="F169" s="7"/>
      <c r="G169" s="7"/>
      <c r="H169" s="7"/>
      <c r="I169" s="7"/>
      <c r="J169" s="7"/>
    </row>
    <row r="170" spans="1:10" ht="14.5" x14ac:dyDescent="0.35">
      <c r="A170" s="9" t="str">
        <f>"   (a) 12/31/" &amp;year-2&amp;" Accrued Claims Reserve"</f>
        <v xml:space="preserve">   (a) 12/31/2019 Accrued Claims Reserve</v>
      </c>
      <c r="B170" s="7"/>
      <c r="C170" s="7"/>
      <c r="D170" s="7"/>
      <c r="E170" s="7"/>
      <c r="F170" s="48">
        <f>F163</f>
        <v>82000000</v>
      </c>
      <c r="G170" s="7"/>
      <c r="H170" s="7"/>
      <c r="I170" s="7"/>
      <c r="J170" s="7"/>
    </row>
    <row r="171" spans="1:10" ht="14.5" x14ac:dyDescent="0.35">
      <c r="A171" s="9" t="str">
        <f>"   (b) 12/31/"&amp;year-1&amp;" Est. Accrued Claims Reserve ("&amp;year-2003&amp;" - "&amp;year-2001&amp;" Ultimate Claims Against Run Out)"</f>
        <v xml:space="preserve">   (b) 12/31/2020 Est. Accrued Claims Reserve (18 - 20 Ultimate Claims Against Run Out)</v>
      </c>
      <c r="B171" s="7"/>
      <c r="C171" s="7"/>
      <c r="D171" s="7"/>
      <c r="E171" s="7"/>
      <c r="F171" s="48">
        <f>G155*(1-(($C$65-$E$75)/$C$73))+G156*(1-($E$65/$E$73))+G157*(1-($G$65/$G$73))</f>
        <v>89120059.610643849</v>
      </c>
      <c r="G171" s="7"/>
      <c r="H171" s="7"/>
      <c r="I171" s="7"/>
      <c r="J171" s="7"/>
    </row>
    <row r="172" spans="1:10" ht="14.5" x14ac:dyDescent="0.35">
      <c r="A172" s="9" t="str">
        <f>"   (c) 12/31/" &amp;year&amp;" Est. Accrued Claims Reserve (" &amp;year-2002&amp; " - " &amp;year-2000&amp; " Ultimate Claims Against Run Out)"</f>
        <v xml:space="preserve">   (c) 12/31/2021 Est. Accrued Claims Reserve (19 - 21 Ultimate Claims Against Run Out)</v>
      </c>
      <c r="B172" s="7"/>
      <c r="C172" s="7"/>
      <c r="D172" s="7"/>
      <c r="E172" s="7"/>
      <c r="F172" s="48">
        <f>G156*(1-(($C$65-$E$75)/$C$73))+G157*(1-($E$65/$E$73))+G158*(1-($G$65/$G$73))</f>
        <v>102335128.73384973</v>
      </c>
      <c r="G172" s="7"/>
      <c r="H172" s="7"/>
      <c r="I172" s="7"/>
      <c r="J172" s="7"/>
    </row>
    <row r="173" spans="1:10" ht="14.5" x14ac:dyDescent="0.35">
      <c r="A173" s="7"/>
      <c r="B173" s="7"/>
      <c r="C173" s="7"/>
      <c r="D173" s="7"/>
      <c r="E173" s="7"/>
      <c r="F173" s="7"/>
      <c r="G173" s="7"/>
      <c r="H173" s="7"/>
      <c r="I173" s="7"/>
      <c r="J173" s="7"/>
    </row>
    <row r="174" spans="1:10" ht="14.5" x14ac:dyDescent="0.35">
      <c r="A174" s="9" t="s">
        <v>217</v>
      </c>
      <c r="B174" s="7"/>
      <c r="C174" s="7"/>
      <c r="D174" s="7"/>
      <c r="E174" s="7"/>
      <c r="F174" s="7"/>
      <c r="G174" s="7"/>
      <c r="H174" s="7"/>
      <c r="I174" s="7"/>
      <c r="J174" s="7"/>
    </row>
    <row r="175" spans="1:10" ht="14.5" x14ac:dyDescent="0.35">
      <c r="A175" s="9" t="str">
        <f>"   (a)"</f>
        <v xml:space="preserve">   (a)</v>
      </c>
      <c r="B175" s="7"/>
      <c r="C175" s="16" t="s">
        <v>71</v>
      </c>
      <c r="D175" s="7"/>
      <c r="E175" s="16" t="s">
        <v>61</v>
      </c>
      <c r="F175" s="7"/>
      <c r="G175" s="7"/>
      <c r="H175" s="7"/>
      <c r="I175" s="7"/>
      <c r="J175" s="7"/>
    </row>
    <row r="176" spans="1:10" ht="14.5" x14ac:dyDescent="0.35">
      <c r="A176" s="7"/>
      <c r="B176" s="373" t="s">
        <v>68</v>
      </c>
      <c r="C176" s="373" t="s">
        <v>69</v>
      </c>
      <c r="D176" s="7"/>
      <c r="E176" s="373" t="s">
        <v>70</v>
      </c>
      <c r="F176" s="7"/>
      <c r="G176" s="7"/>
      <c r="H176" s="7"/>
      <c r="I176" s="7"/>
      <c r="J176" s="7"/>
    </row>
    <row r="177" spans="1:15" ht="15" thickBot="1" x14ac:dyDescent="0.4">
      <c r="A177" s="7"/>
      <c r="B177" s="7"/>
      <c r="C177" s="7"/>
      <c r="D177" s="7"/>
      <c r="E177" s="7"/>
      <c r="F177" s="7"/>
      <c r="G177" s="7"/>
      <c r="H177" s="7"/>
      <c r="I177" s="7"/>
      <c r="J177" s="7"/>
    </row>
    <row r="178" spans="1:15" ht="15" thickBot="1" x14ac:dyDescent="0.4">
      <c r="A178" s="7"/>
      <c r="B178" s="16">
        <f>year-2</f>
        <v>2019</v>
      </c>
      <c r="C178" s="15">
        <v>48000000</v>
      </c>
      <c r="D178" s="7"/>
      <c r="E178" s="15">
        <v>3500000</v>
      </c>
      <c r="F178" s="7"/>
      <c r="G178" s="7"/>
      <c r="H178" s="7"/>
      <c r="I178" s="7"/>
      <c r="J178" s="7"/>
    </row>
    <row r="179" spans="1:15" ht="15" thickBot="1" x14ac:dyDescent="0.4">
      <c r="A179" s="7"/>
      <c r="B179" s="16">
        <f>year-1</f>
        <v>2020</v>
      </c>
      <c r="C179" s="15">
        <v>49000000</v>
      </c>
      <c r="D179" s="7"/>
      <c r="E179" s="15">
        <v>3600000</v>
      </c>
      <c r="F179" s="7"/>
      <c r="G179" s="7"/>
      <c r="H179" s="7"/>
      <c r="I179" s="7"/>
      <c r="J179" s="7"/>
    </row>
    <row r="180" spans="1:15" ht="15" thickBot="1" x14ac:dyDescent="0.4">
      <c r="A180" s="7"/>
      <c r="B180" s="16">
        <f>year</f>
        <v>2021</v>
      </c>
      <c r="C180" s="15">
        <v>50000000</v>
      </c>
      <c r="D180" s="7"/>
      <c r="E180" s="15">
        <v>3700000</v>
      </c>
      <c r="F180" s="7"/>
      <c r="G180" s="7"/>
      <c r="H180" s="7"/>
      <c r="I180" s="7"/>
      <c r="J180" s="7"/>
    </row>
    <row r="181" spans="1:15" ht="14.5" x14ac:dyDescent="0.35">
      <c r="A181" s="7"/>
      <c r="B181" s="7"/>
      <c r="C181" s="7"/>
      <c r="D181" s="7"/>
      <c r="E181" s="7"/>
      <c r="F181" s="7"/>
      <c r="G181" s="7"/>
      <c r="H181" s="7"/>
      <c r="I181" s="7"/>
      <c r="J181" s="7"/>
    </row>
    <row r="182" spans="1:15" ht="14.5" x14ac:dyDescent="0.35">
      <c r="A182" s="9" t="str">
        <f>"   (b)"</f>
        <v xml:space="preserve">   (b)</v>
      </c>
      <c r="B182" s="7"/>
      <c r="C182" s="16" t="s">
        <v>71</v>
      </c>
      <c r="D182" s="7"/>
      <c r="E182" s="16" t="s">
        <v>71</v>
      </c>
      <c r="F182" s="7"/>
      <c r="G182" s="7"/>
      <c r="H182" s="7"/>
      <c r="I182" s="7"/>
      <c r="J182" s="7"/>
    </row>
    <row r="183" spans="1:15" ht="14.5" x14ac:dyDescent="0.35">
      <c r="A183" s="7"/>
      <c r="B183" s="373" t="s">
        <v>68</v>
      </c>
      <c r="C183" s="373" t="s">
        <v>72</v>
      </c>
      <c r="D183" s="7"/>
      <c r="E183" s="373" t="s">
        <v>73</v>
      </c>
      <c r="F183" s="7"/>
      <c r="G183" s="7"/>
      <c r="H183" s="7"/>
      <c r="I183" s="7"/>
      <c r="J183" s="7"/>
    </row>
    <row r="184" spans="1:15" ht="14.5" x14ac:dyDescent="0.35">
      <c r="A184" s="7"/>
      <c r="B184" s="7"/>
      <c r="C184" s="7"/>
      <c r="D184" s="7"/>
      <c r="E184" s="7"/>
      <c r="F184" s="7"/>
      <c r="G184" s="7"/>
      <c r="H184" s="7"/>
      <c r="I184" s="7"/>
      <c r="J184" s="7"/>
    </row>
    <row r="185" spans="1:15" ht="14.5" x14ac:dyDescent="0.35">
      <c r="A185" s="7"/>
      <c r="B185" s="16">
        <f>year-2</f>
        <v>2019</v>
      </c>
      <c r="C185" s="48">
        <f>C178/(G80+(G155/G156)-G80*(G155/G156))</f>
        <v>48471248.246844314</v>
      </c>
      <c r="D185" s="7"/>
      <c r="E185" s="48">
        <f>F165</f>
        <v>8000000</v>
      </c>
      <c r="F185" s="7"/>
      <c r="G185" s="7"/>
      <c r="H185" s="7"/>
      <c r="I185" s="7"/>
      <c r="J185" s="7"/>
    </row>
    <row r="186" spans="1:15" ht="14.5" x14ac:dyDescent="0.35">
      <c r="A186" s="7"/>
      <c r="B186" s="16">
        <f>year-1</f>
        <v>2020</v>
      </c>
      <c r="C186" s="48">
        <f>(C179-C185*(1-(G65/G73)))/(G65/G73)</f>
        <v>49105750.35063114</v>
      </c>
      <c r="D186" s="7"/>
      <c r="E186" s="48">
        <f>C186*(1-(G65/G73))</f>
        <v>8184291.7251051879</v>
      </c>
      <c r="F186" s="7"/>
      <c r="G186" s="7"/>
      <c r="H186" s="7"/>
      <c r="I186" s="7"/>
      <c r="J186" s="7"/>
    </row>
    <row r="187" spans="1:15" ht="14.5" x14ac:dyDescent="0.35">
      <c r="A187" s="7"/>
      <c r="B187" s="16">
        <f>year</f>
        <v>2021</v>
      </c>
      <c r="C187" s="48">
        <f>(C180-C186*(1-(G65/G73)))/(G65/G73)</f>
        <v>50178849.929873772</v>
      </c>
      <c r="D187" s="7"/>
      <c r="E187" s="48">
        <f>C187*(1-(G65/G73))</f>
        <v>8363141.6549789598</v>
      </c>
      <c r="F187" s="7"/>
      <c r="G187" s="7"/>
      <c r="H187" s="7"/>
      <c r="I187" s="7"/>
      <c r="J187" s="7"/>
    </row>
    <row r="188" spans="1:15" ht="15" thickBot="1" x14ac:dyDescent="0.4">
      <c r="A188" s="7"/>
      <c r="B188" s="7"/>
      <c r="C188" s="7"/>
      <c r="D188" s="7"/>
      <c r="E188" s="7"/>
      <c r="F188" s="7"/>
      <c r="G188" s="7"/>
      <c r="H188" s="7"/>
      <c r="I188" s="7"/>
      <c r="J188" s="7"/>
    </row>
    <row r="189" spans="1:15" ht="15" thickBot="1" x14ac:dyDescent="0.4">
      <c r="A189" s="9" t="str">
        <f>"   (c) " &amp;year&amp; " Estimate of Service Charge (to be negotiated with Office of Insurance Operations)"</f>
        <v xml:space="preserve">   (c) 2021 Estimate of Service Charge (to be negotiated with Office of Insurance Operations)</v>
      </c>
      <c r="B189" s="7"/>
      <c r="C189" s="7"/>
      <c r="D189" s="7"/>
      <c r="E189" s="7"/>
      <c r="F189" s="51">
        <v>3000000</v>
      </c>
      <c r="G189" s="7"/>
      <c r="H189" s="7"/>
      <c r="I189" s="7"/>
      <c r="J189" s="7"/>
    </row>
    <row r="190" spans="1:15" ht="15" thickBot="1" x14ac:dyDescent="0.4">
      <c r="A190" s="9" t="str">
        <f>"   (d) " &amp;year&amp; " Estimated Cost of Facility Capital"</f>
        <v xml:space="preserve">   (d) 2021 Estimated Cost of Facility Capital</v>
      </c>
      <c r="B190" s="7"/>
      <c r="C190" s="7"/>
      <c r="D190" s="7"/>
      <c r="E190" s="7"/>
      <c r="F190" s="51">
        <v>500000</v>
      </c>
      <c r="G190" s="7"/>
      <c r="H190" s="7"/>
      <c r="I190" s="7"/>
      <c r="J190" s="7"/>
    </row>
    <row r="191" spans="1:15" ht="14.5" x14ac:dyDescent="0.35">
      <c r="A191" s="7"/>
      <c r="B191" s="7"/>
      <c r="C191" s="7"/>
      <c r="D191" s="7"/>
      <c r="E191" s="7"/>
      <c r="F191" s="7"/>
      <c r="G191" s="7"/>
      <c r="H191" s="7"/>
      <c r="I191" s="7"/>
      <c r="J191" s="7"/>
    </row>
    <row r="192" spans="1:15" ht="13" x14ac:dyDescent="0.3">
      <c r="A192" s="241" t="s">
        <v>197</v>
      </c>
      <c r="B192" s="241"/>
      <c r="C192" s="241"/>
      <c r="D192" s="241"/>
      <c r="E192" s="241"/>
      <c r="F192" s="241"/>
      <c r="G192" s="241"/>
      <c r="H192" s="241"/>
      <c r="I192" s="241"/>
      <c r="J192" s="241"/>
      <c r="K192" s="276"/>
      <c r="L192" s="241"/>
      <c r="M192" s="241"/>
      <c r="N192" s="241"/>
      <c r="O192" s="241"/>
    </row>
    <row r="193" spans="1:15" ht="13" x14ac:dyDescent="0.3">
      <c r="A193" s="241" t="s">
        <v>196</v>
      </c>
      <c r="B193" s="241"/>
      <c r="C193" s="241"/>
      <c r="D193" s="241"/>
      <c r="E193" s="241"/>
      <c r="F193" s="241"/>
      <c r="G193" s="241"/>
      <c r="H193" s="241"/>
      <c r="I193" s="241"/>
      <c r="J193" s="241"/>
      <c r="K193" s="276"/>
      <c r="L193" s="241"/>
      <c r="M193" s="241"/>
      <c r="N193" s="241"/>
      <c r="O193" s="241"/>
    </row>
    <row r="194" spans="1:15" ht="13" x14ac:dyDescent="0.3">
      <c r="A194" s="241"/>
      <c r="B194" s="241"/>
      <c r="C194" s="241"/>
      <c r="D194" s="241"/>
      <c r="E194" s="241"/>
      <c r="F194" s="241"/>
      <c r="G194" s="241"/>
      <c r="H194" s="241"/>
      <c r="I194" s="241"/>
      <c r="J194" s="241"/>
      <c r="K194" s="276"/>
      <c r="L194" s="241"/>
      <c r="M194" s="241"/>
      <c r="N194" s="241"/>
      <c r="O194" s="241"/>
    </row>
    <row r="195" spans="1:15" ht="15.75" customHeight="1" x14ac:dyDescent="0.35">
      <c r="A195" s="7"/>
      <c r="B195" s="7"/>
      <c r="C195" s="7"/>
      <c r="D195" s="7"/>
      <c r="E195" s="7"/>
      <c r="F195" s="7"/>
      <c r="G195" s="7"/>
      <c r="H195" s="7"/>
      <c r="I195" s="7"/>
      <c r="J195" s="7"/>
    </row>
    <row r="196" spans="1:15" ht="14.5" x14ac:dyDescent="0.35">
      <c r="A196" s="9" t="str">
        <f>"14. " &amp;year-1&amp; " Contingency Reserve Payment, Interest, Investment Income and Reserve Calculations"</f>
        <v>14. 2020 Contingency Reserve Payment, Interest, Investment Income and Reserve Calculations</v>
      </c>
      <c r="B196" s="7"/>
      <c r="C196" s="7"/>
      <c r="D196" s="7"/>
      <c r="E196" s="7"/>
      <c r="F196" s="7"/>
      <c r="G196" s="7"/>
      <c r="H196" s="7"/>
      <c r="I196" s="7"/>
      <c r="J196" s="7"/>
    </row>
    <row r="197" spans="1:15" ht="15" thickBot="1" x14ac:dyDescent="0.4">
      <c r="A197" s="9" t="str">
        <f>"   (a) Contingency Reserve"</f>
        <v xml:space="preserve">   (a) Contingency Reserve</v>
      </c>
      <c r="B197" s="7"/>
      <c r="C197" s="7"/>
      <c r="D197" s="7"/>
      <c r="E197" s="7"/>
      <c r="F197" s="7"/>
      <c r="G197" s="7"/>
      <c r="H197" s="7"/>
      <c r="I197" s="7"/>
      <c r="J197" s="7"/>
    </row>
    <row r="198" spans="1:15" ht="15" thickBot="1" x14ac:dyDescent="0.4">
      <c r="A198" s="9" t="str">
        <f>"      (1) Contingency Reserve Balance as of 12/31/" &amp;year-2</f>
        <v xml:space="preserve">      (1) Contingency Reserve Balance as of 12/31/2019</v>
      </c>
      <c r="B198" s="7"/>
      <c r="C198" s="7"/>
      <c r="D198" s="7"/>
      <c r="E198" s="15">
        <v>70000000</v>
      </c>
      <c r="F198" s="7"/>
      <c r="G198" s="7"/>
      <c r="H198" s="7"/>
      <c r="I198" s="7"/>
      <c r="J198" s="7"/>
    </row>
    <row r="199" spans="1:15" ht="14.5" x14ac:dyDescent="0.35">
      <c r="A199" s="7"/>
      <c r="B199" s="7"/>
      <c r="C199" s="7"/>
      <c r="D199" s="7"/>
      <c r="E199" s="7"/>
      <c r="F199" s="7"/>
      <c r="G199" s="7"/>
      <c r="H199" s="7"/>
      <c r="I199" s="7"/>
      <c r="J199" s="7"/>
    </row>
    <row r="200" spans="1:15" ht="14.5" x14ac:dyDescent="0.35">
      <c r="A200" s="7" t="s">
        <v>199</v>
      </c>
      <c r="B200" s="7"/>
      <c r="C200" s="7"/>
      <c r="D200" s="7"/>
      <c r="E200" s="7"/>
      <c r="F200" s="7"/>
      <c r="G200" s="7"/>
      <c r="H200" s="7"/>
      <c r="I200" s="7"/>
      <c r="J200" s="7"/>
    </row>
    <row r="201" spans="1:15" ht="14.5" x14ac:dyDescent="0.35">
      <c r="A201" s="7" t="s">
        <v>200</v>
      </c>
      <c r="B201" s="7"/>
      <c r="C201" s="7"/>
      <c r="D201" s="7"/>
      <c r="E201" s="7"/>
      <c r="F201" s="7"/>
      <c r="G201" s="7"/>
      <c r="H201" s="7"/>
      <c r="I201" s="7"/>
      <c r="J201" s="7"/>
    </row>
    <row r="202" spans="1:15" ht="14.5" x14ac:dyDescent="0.35">
      <c r="A202" s="7" t="s">
        <v>329</v>
      </c>
      <c r="B202" s="7"/>
      <c r="C202" s="7"/>
      <c r="D202" s="7"/>
      <c r="E202" s="7"/>
      <c r="F202" s="7"/>
      <c r="G202" s="7"/>
      <c r="H202" s="7"/>
      <c r="I202" s="7"/>
      <c r="J202" s="7"/>
    </row>
    <row r="203" spans="1:15" ht="15" thickBot="1" x14ac:dyDescent="0.4">
      <c r="A203" s="7"/>
      <c r="B203" s="7"/>
      <c r="C203" s="7"/>
      <c r="D203" s="7"/>
      <c r="E203" s="7"/>
      <c r="F203" s="7"/>
      <c r="G203" s="7"/>
      <c r="H203" s="7"/>
      <c r="I203" s="7"/>
      <c r="J203" s="7"/>
    </row>
    <row r="204" spans="1:15" ht="15" thickBot="1" x14ac:dyDescent="0.4">
      <c r="A204" s="9" t="str">
        <f>"          (a) 1st Special CR Payment made in " &amp;year-1</f>
        <v xml:space="preserve">          (a) 1st Special CR Payment made in 2020</v>
      </c>
      <c r="B204" s="7"/>
      <c r="C204" s="7"/>
      <c r="D204" s="7"/>
      <c r="E204" s="15"/>
      <c r="F204" s="7"/>
      <c r="G204" s="7"/>
      <c r="H204" s="7"/>
      <c r="I204" s="7"/>
      <c r="J204" s="7"/>
    </row>
    <row r="205" spans="1:15" ht="15" thickBot="1" x14ac:dyDescent="0.4">
      <c r="A205" s="9" t="str">
        <f>"          (b) Month when Special CR Payment was made in " &amp;year-1</f>
        <v xml:space="preserve">          (b) Month when Special CR Payment was made in 2020</v>
      </c>
      <c r="B205" s="7"/>
      <c r="C205" s="7"/>
      <c r="D205" s="7"/>
      <c r="E205" s="52" t="s">
        <v>75</v>
      </c>
      <c r="F205" s="7"/>
      <c r="G205" s="7"/>
      <c r="H205" s="7"/>
      <c r="I205" s="7"/>
      <c r="J205" s="7"/>
    </row>
    <row r="206" spans="1:15" ht="15" thickBot="1" x14ac:dyDescent="0.4">
      <c r="A206" s="9" t="str">
        <f>"          (c) 2nd Expected Non-Standard CR Payment made in " &amp;year-1</f>
        <v xml:space="preserve">          (c) 2nd Expected Non-Standard CR Payment made in 2020</v>
      </c>
      <c r="B206" s="7"/>
      <c r="C206" s="7"/>
      <c r="D206" s="7"/>
      <c r="E206" s="15"/>
      <c r="F206" s="7"/>
      <c r="G206" s="7"/>
      <c r="H206" s="7"/>
      <c r="I206" s="7"/>
      <c r="J206" s="7"/>
    </row>
    <row r="207" spans="1:15" ht="15" thickBot="1" x14ac:dyDescent="0.4">
      <c r="A207" s="9" t="str">
        <f>"          (d) Month of 2nd Non-Standard CR Payment in " &amp;year-1</f>
        <v xml:space="preserve">          (d) Month of 2nd Non-Standard CR Payment in 2020</v>
      </c>
      <c r="B207" s="7"/>
      <c r="C207" s="7"/>
      <c r="D207" s="7"/>
      <c r="E207" s="52" t="s">
        <v>75</v>
      </c>
      <c r="F207" s="7"/>
      <c r="G207" s="7"/>
      <c r="H207" s="7"/>
      <c r="I207" s="7"/>
      <c r="J207" s="7"/>
    </row>
    <row r="208" spans="1:15" ht="15" thickBot="1" x14ac:dyDescent="0.4">
      <c r="A208" s="9" t="str">
        <f>"          (e) 3rd Expected Non-Standard CR Payment made in " &amp;year-1</f>
        <v xml:space="preserve">          (e) 3rd Expected Non-Standard CR Payment made in 2020</v>
      </c>
      <c r="B208" s="7"/>
      <c r="C208" s="7"/>
      <c r="D208" s="7"/>
      <c r="E208" s="15"/>
      <c r="F208" s="7"/>
      <c r="G208" s="7"/>
      <c r="H208" s="7"/>
      <c r="I208" s="7"/>
      <c r="J208" s="7"/>
    </row>
    <row r="209" spans="1:10" ht="15" thickBot="1" x14ac:dyDescent="0.4">
      <c r="A209" s="9" t="str">
        <f>"          (f) Month of 3rd Non-Standard CR Payment in " &amp;year-1</f>
        <v xml:space="preserve">          (f) Month of 3rd Non-Standard CR Payment in 2020</v>
      </c>
      <c r="B209" s="7"/>
      <c r="C209" s="7"/>
      <c r="D209" s="7"/>
      <c r="E209" s="52" t="s">
        <v>75</v>
      </c>
      <c r="F209" s="7"/>
      <c r="G209" s="7"/>
      <c r="H209" s="7"/>
      <c r="I209" s="7"/>
      <c r="J209" s="7"/>
    </row>
    <row r="210" spans="1:10" ht="15" thickBot="1" x14ac:dyDescent="0.4">
      <c r="A210" s="9" t="str">
        <f>"          (g) 1st Expected Non-Standard CR Payment made in " &amp;year</f>
        <v xml:space="preserve">          (g) 1st Expected Non-Standard CR Payment made in 2021</v>
      </c>
      <c r="B210" s="7"/>
      <c r="C210" s="7"/>
      <c r="D210" s="7"/>
      <c r="E210" s="15"/>
      <c r="F210" s="7"/>
      <c r="G210" s="7"/>
      <c r="H210" s="7"/>
      <c r="I210" s="7"/>
      <c r="J210" s="7"/>
    </row>
    <row r="211" spans="1:10" ht="15" thickBot="1" x14ac:dyDescent="0.4">
      <c r="A211" s="9" t="str">
        <f>"          (h) Month of 1st Non-Standard CR Payment in " &amp;year</f>
        <v xml:space="preserve">          (h) Month of 1st Non-Standard CR Payment in 2021</v>
      </c>
      <c r="B211" s="7"/>
      <c r="C211" s="7"/>
      <c r="D211" s="7"/>
      <c r="E211" s="52" t="s">
        <v>75</v>
      </c>
      <c r="F211" s="7"/>
      <c r="G211" s="7"/>
      <c r="H211" s="7"/>
      <c r="I211" s="7"/>
      <c r="J211" s="7"/>
    </row>
    <row r="212" spans="1:10" ht="15" thickBot="1" x14ac:dyDescent="0.4">
      <c r="A212" s="9" t="str">
        <f>"          (i) 2nd Expected Non-Standard CR Payment made in " &amp;year</f>
        <v xml:space="preserve">          (i) 2nd Expected Non-Standard CR Payment made in 2021</v>
      </c>
      <c r="B212" s="7"/>
      <c r="C212" s="7"/>
      <c r="D212" s="7"/>
      <c r="E212" s="15"/>
      <c r="F212" s="7"/>
      <c r="G212" s="7"/>
      <c r="H212" s="7"/>
      <c r="I212" s="7"/>
      <c r="J212" s="7"/>
    </row>
    <row r="213" spans="1:10" ht="15" thickBot="1" x14ac:dyDescent="0.4">
      <c r="A213" s="9" t="str">
        <f>"          (j) Month of 2nd Non-Standard CR Payment in " &amp;year</f>
        <v xml:space="preserve">          (j) Month of 2nd Non-Standard CR Payment in 2021</v>
      </c>
      <c r="B213" s="7"/>
      <c r="C213" s="7"/>
      <c r="D213" s="7"/>
      <c r="E213" s="52" t="s">
        <v>75</v>
      </c>
      <c r="F213" s="7"/>
      <c r="G213" s="7"/>
      <c r="H213" s="7"/>
      <c r="I213" s="7"/>
      <c r="J213" s="7"/>
    </row>
    <row r="214" spans="1:10" ht="15" thickBot="1" x14ac:dyDescent="0.4">
      <c r="A214" s="9" t="str">
        <f>"          (k) 3rd Expected Non-Standard CR Payment made in " &amp;year</f>
        <v xml:space="preserve">          (k) 3rd Expected Non-Standard CR Payment made in 2021</v>
      </c>
      <c r="B214" s="7"/>
      <c r="C214" s="7"/>
      <c r="D214" s="7"/>
      <c r="E214" s="15"/>
      <c r="F214" s="7"/>
      <c r="G214" s="7"/>
      <c r="H214" s="7"/>
      <c r="I214" s="7"/>
      <c r="J214" s="7"/>
    </row>
    <row r="215" spans="1:10" ht="15" thickBot="1" x14ac:dyDescent="0.4">
      <c r="A215" s="9" t="str">
        <f>"          (l) Month of 3rd Non-Standard CR Payment in " &amp;year</f>
        <v xml:space="preserve">          (l) Month of 3rd Non-Standard CR Payment in 2021</v>
      </c>
      <c r="B215" s="7"/>
      <c r="C215" s="7"/>
      <c r="D215" s="7"/>
      <c r="E215" s="52" t="s">
        <v>75</v>
      </c>
      <c r="F215" s="7"/>
      <c r="G215" s="7"/>
      <c r="H215" s="7"/>
      <c r="I215" s="7"/>
      <c r="J215" s="7"/>
    </row>
    <row r="216" spans="1:10" ht="15" thickBot="1" x14ac:dyDescent="0.4">
      <c r="A216" s="7"/>
      <c r="B216" s="30"/>
      <c r="C216" s="7"/>
      <c r="D216" s="7"/>
      <c r="E216" s="12"/>
      <c r="F216" s="7"/>
      <c r="G216" s="7"/>
      <c r="H216" s="7"/>
      <c r="I216" s="7"/>
      <c r="J216" s="7"/>
    </row>
    <row r="217" spans="1:10" ht="15" thickBot="1" x14ac:dyDescent="0.4">
      <c r="A217" s="53" t="str">
        <f>"      (2) Claims Paid During the Last 6 Months of " &amp;year-2</f>
        <v xml:space="preserve">      (2) Claims Paid During the Last 6 Months of 2019</v>
      </c>
      <c r="B217" s="7"/>
      <c r="C217" s="7"/>
      <c r="D217" s="7"/>
      <c r="E217" s="15">
        <v>240000000</v>
      </c>
      <c r="F217" s="7"/>
      <c r="G217" s="7"/>
      <c r="H217" s="7"/>
      <c r="I217" s="7"/>
      <c r="J217" s="7"/>
    </row>
    <row r="218" spans="1:10" ht="14.5" x14ac:dyDescent="0.35">
      <c r="A218" s="7"/>
      <c r="B218" s="7"/>
      <c r="C218" s="7"/>
      <c r="D218" s="7"/>
      <c r="E218" s="7"/>
      <c r="F218" s="7"/>
      <c r="G218" s="7"/>
      <c r="H218" s="7"/>
      <c r="I218" s="7"/>
      <c r="J218" s="7"/>
    </row>
    <row r="219" spans="1:10" ht="14.5" x14ac:dyDescent="0.35">
      <c r="A219" s="7"/>
      <c r="B219" s="7"/>
      <c r="C219" s="7"/>
      <c r="D219" s="7"/>
      <c r="E219" s="7"/>
      <c r="F219" s="7"/>
      <c r="G219" s="7"/>
      <c r="H219" s="7"/>
      <c r="I219" s="7"/>
      <c r="J219" s="7"/>
    </row>
    <row r="220" spans="1:10" ht="14.5" x14ac:dyDescent="0.35">
      <c r="A220" s="9" t="str">
        <f>"15. " &amp;year-1&amp; " Contingency Payment, Int. &amp; Inv. Income, and Reserve Calculation"</f>
        <v>15. 2020 Contingency Payment, Int. &amp; Inv. Income, and Reserve Calculation</v>
      </c>
      <c r="B220" s="9"/>
      <c r="C220" s="9"/>
      <c r="D220" s="7"/>
      <c r="E220" s="7"/>
      <c r="F220" s="7"/>
      <c r="G220" s="7"/>
      <c r="H220" s="7"/>
      <c r="I220" s="7"/>
      <c r="J220" s="7"/>
    </row>
    <row r="221" spans="1:10" ht="14.5" x14ac:dyDescent="0.35">
      <c r="A221" s="9"/>
      <c r="B221" s="9"/>
      <c r="C221" s="9"/>
      <c r="D221" s="7"/>
      <c r="E221" s="7"/>
      <c r="F221" s="7"/>
      <c r="G221" s="7"/>
      <c r="H221" s="7"/>
      <c r="I221" s="7"/>
      <c r="J221" s="7"/>
    </row>
    <row r="222" spans="1:10" ht="14.5" x14ac:dyDescent="0.35">
      <c r="A222" s="9" t="str">
        <f>"          (a) Contingency Reserve "</f>
        <v xml:space="preserve">          (a) Contingency Reserve </v>
      </c>
      <c r="B222" s="9"/>
      <c r="C222" s="9"/>
      <c r="D222" s="7"/>
      <c r="E222" s="7"/>
      <c r="F222" s="7"/>
      <c r="G222" s="7"/>
      <c r="H222" s="7"/>
      <c r="I222" s="7"/>
      <c r="J222" s="7"/>
    </row>
    <row r="223" spans="1:10" ht="14.5" x14ac:dyDescent="0.35">
      <c r="A223" s="9" t="str">
        <f>"                   (1) Contingency Reserve Balance on 12/31/" &amp;year-2</f>
        <v xml:space="preserve">                   (1) Contingency Reserve Balance on 12/31/2019</v>
      </c>
      <c r="B223" s="9"/>
      <c r="C223" s="9"/>
      <c r="D223" s="7"/>
      <c r="E223" s="7"/>
      <c r="F223" s="242">
        <f>E198</f>
        <v>70000000</v>
      </c>
      <c r="G223" s="7"/>
      <c r="H223" s="7"/>
      <c r="I223" s="7"/>
      <c r="J223" s="7"/>
    </row>
    <row r="224" spans="1:10" ht="14.5" x14ac:dyDescent="0.35">
      <c r="A224" s="9" t="str">
        <f>"                   (2) Claims Paid During the Last 6 Months of " &amp;year-2</f>
        <v xml:space="preserve">                   (2) Claims Paid During the Last 6 Months of 2019</v>
      </c>
      <c r="B224" s="9"/>
      <c r="C224" s="9"/>
      <c r="D224" s="7"/>
      <c r="E224" s="7"/>
      <c r="F224" s="242">
        <f>E217</f>
        <v>240000000</v>
      </c>
      <c r="G224" s="7"/>
      <c r="H224" s="7"/>
      <c r="I224" s="7"/>
      <c r="J224" s="7"/>
    </row>
    <row r="225" spans="1:18" ht="14.5" x14ac:dyDescent="0.35">
      <c r="A225" s="9" t="str">
        <f>"                   (3) Paid Expenses for " &amp;year-2</f>
        <v xml:space="preserve">                   (3) Paid Expenses for 2019</v>
      </c>
      <c r="B225" s="9"/>
      <c r="C225" s="9"/>
      <c r="D225" s="7"/>
      <c r="E225" s="7"/>
      <c r="F225" s="242">
        <f>C178+E178</f>
        <v>51500000</v>
      </c>
      <c r="G225" s="7"/>
      <c r="H225" s="7"/>
      <c r="I225" s="7"/>
      <c r="J225" s="7"/>
    </row>
    <row r="226" spans="1:18" ht="14.5" x14ac:dyDescent="0.35">
      <c r="A226" s="9" t="str">
        <f>"                   (4) Three and One-Half Months of Paid Outgo"</f>
        <v xml:space="preserve">                   (4) Three and One-Half Months of Paid Outgo</v>
      </c>
      <c r="B226" s="9"/>
      <c r="C226" s="9"/>
      <c r="D226" s="7"/>
      <c r="E226" s="7"/>
      <c r="F226" s="242">
        <f>(7/12*F224)+(7/24*F225)</f>
        <v>155020833.33333334</v>
      </c>
      <c r="G226" s="390"/>
      <c r="H226" s="7"/>
      <c r="I226" s="7"/>
      <c r="J226" s="7"/>
    </row>
    <row r="227" spans="1:18" ht="14.5" x14ac:dyDescent="0.35">
      <c r="A227" s="9" t="str">
        <f>"                   (5) Preferred Minimum Balance"</f>
        <v xml:space="preserve">                   (5) Preferred Minimum Balance</v>
      </c>
      <c r="B227" s="9"/>
      <c r="C227" s="9"/>
      <c r="D227" s="7"/>
      <c r="E227" s="7"/>
      <c r="F227" s="242">
        <f>3/7*F226</f>
        <v>66437500</v>
      </c>
      <c r="G227" s="390"/>
      <c r="H227" s="390"/>
      <c r="I227" s="7"/>
      <c r="J227" s="7"/>
    </row>
    <row r="228" spans="1:18" ht="14.5" x14ac:dyDescent="0.35">
      <c r="A228" s="32" t="str">
        <f>"                   (6) Accrued Claims Reserve + Accrued Exp Reserve + Special Reserve 12/31/"&amp;year-2</f>
        <v xml:space="preserve">                   (6) Accrued Claims Reserve + Accrued Exp Reserve + Special Reserve 12/31/2019</v>
      </c>
      <c r="B228" s="9"/>
      <c r="C228" s="9"/>
      <c r="D228" s="7"/>
      <c r="E228" s="7"/>
      <c r="F228" s="242">
        <f>F165+F163+F167</f>
        <v>137000000</v>
      </c>
      <c r="G228" s="7"/>
      <c r="H228" s="390"/>
      <c r="I228" s="7"/>
      <c r="J228" s="7"/>
    </row>
    <row r="229" spans="1:18" ht="14.5" x14ac:dyDescent="0.35">
      <c r="A229" s="9" t="str">
        <f>"                   (7) " &amp;year-1&amp; " Contingency Reserve Payment to LOCA/(LOCA Payment to CR)"</f>
        <v xml:space="preserve">                   (7) 2020 Contingency Reserve Payment to LOCA/(LOCA Payment to CR)</v>
      </c>
      <c r="B229" s="9"/>
      <c r="C229" s="9"/>
      <c r="D229" s="7"/>
      <c r="E229" s="7"/>
      <c r="F229" s="391">
        <f>IF(NoSpecialPayment1,IF(F228&gt;F226,-(F228-F226),MIN(F226-F228,F223-F227)),E204+E206+E208)</f>
        <v>3562500</v>
      </c>
      <c r="G229" s="7"/>
      <c r="H229" s="390"/>
      <c r="I229" s="7"/>
      <c r="J229" s="7"/>
      <c r="R229" s="211"/>
    </row>
    <row r="230" spans="1:18" s="211" customFormat="1" ht="14.5" x14ac:dyDescent="0.35">
      <c r="A230" s="304" t="str">
        <f>"                   (8) " &amp;year-1&amp; " Payments to Contingency Reserve Fund"</f>
        <v xml:space="preserve">                   (8) 2020 Payments to Contingency Reserve Fund</v>
      </c>
      <c r="B230" s="304"/>
      <c r="C230" s="304"/>
      <c r="D230" s="210"/>
      <c r="E230" s="210"/>
      <c r="F230" s="223">
        <f>F40*(0.04-OPMadmin)</f>
        <v>23352420</v>
      </c>
      <c r="G230" s="392"/>
      <c r="H230" s="393"/>
      <c r="I230" s="210"/>
      <c r="J230" s="210"/>
    </row>
    <row r="231" spans="1:18" s="211" customFormat="1" ht="14.5" x14ac:dyDescent="0.35">
      <c r="A231" s="304" t="str">
        <f>"                   (9) " &amp;year-1&amp; " Interest on Contingency Reserve Fund"</f>
        <v xml:space="preserve">                   (9) 2020 Interest on Contingency Reserve Fund</v>
      </c>
      <c r="B231" s="304"/>
      <c r="C231" s="304"/>
      <c r="D231" s="210"/>
      <c r="E231" s="210"/>
      <c r="F231" s="223">
        <f>IF(NoSpecialPayment1,Yr1CR*(F223+0.5*F230-0.25*F229),Yr1CR*(F223+0.5*F230-(((12.5-T1)/12)*E204+((12.5-T2)/12)*E206+((12.5-T3)/12)*E208)))</f>
        <v>1292569.3600000001</v>
      </c>
      <c r="G231" s="394"/>
      <c r="H231" s="393"/>
      <c r="I231" s="210"/>
      <c r="J231" s="210"/>
      <c r="R231" s="4"/>
    </row>
    <row r="232" spans="1:18" ht="14.5" x14ac:dyDescent="0.35">
      <c r="A232" s="9" t="str">
        <f>"                 (10) 12/31/" &amp;year-1&amp; " Contingency Reserve Balance"</f>
        <v xml:space="preserve">                 (10) 12/31/2020 Contingency Reserve Balance</v>
      </c>
      <c r="B232" s="9"/>
      <c r="C232" s="53"/>
      <c r="D232" s="29"/>
      <c r="E232" s="7"/>
      <c r="F232" s="391">
        <f>F223+F230+F231-F229</f>
        <v>91082489.359999999</v>
      </c>
      <c r="G232" s="395"/>
      <c r="H232" s="7"/>
      <c r="I232" s="7"/>
      <c r="J232" s="7"/>
    </row>
    <row r="233" spans="1:18" ht="14.5" x14ac:dyDescent="0.35">
      <c r="A233" s="9"/>
      <c r="B233" s="9"/>
      <c r="C233" s="9"/>
      <c r="D233" s="7"/>
      <c r="E233" s="7"/>
      <c r="F233" s="210"/>
      <c r="G233" s="7"/>
      <c r="H233" s="7"/>
      <c r="I233" s="7"/>
      <c r="J233" s="7"/>
    </row>
    <row r="234" spans="1:18" ht="14.5" x14ac:dyDescent="0.35">
      <c r="A234" s="9" t="str">
        <f>"          (b) Estimated Interest Plus Investment Income "</f>
        <v xml:space="preserve">          (b) Estimated Interest Plus Investment Income </v>
      </c>
      <c r="B234" s="9"/>
      <c r="C234" s="9"/>
      <c r="D234" s="7"/>
      <c r="E234" s="7"/>
      <c r="F234" s="210"/>
      <c r="G234" s="7"/>
      <c r="H234" s="7"/>
      <c r="I234" s="7"/>
      <c r="J234" s="7"/>
    </row>
    <row r="235" spans="1:18" ht="14.5" x14ac:dyDescent="0.35">
      <c r="A235" s="32" t="str">
        <f>"                   (1) Accrued Claims Reserve + Accrued Exp Reserve + Special Reserve 12/31/"&amp;year-2</f>
        <v xml:space="preserve">                   (1) Accrued Claims Reserve + Accrued Exp Reserve + Special Reserve 12/31/2019</v>
      </c>
      <c r="B235" s="9"/>
      <c r="C235" s="9"/>
      <c r="D235" s="7"/>
      <c r="E235" s="7"/>
      <c r="F235" s="391">
        <f>F228</f>
        <v>137000000</v>
      </c>
      <c r="G235" s="7"/>
      <c r="H235" s="7"/>
      <c r="I235" s="7"/>
      <c r="J235" s="7"/>
    </row>
    <row r="236" spans="1:18" ht="14.5" x14ac:dyDescent="0.35">
      <c r="A236" s="9" t="str">
        <f>"                   (2) Premium Income Accrued but Unpaid 12/31/" &amp;year-2</f>
        <v xml:space="preserve">                   (2) Premium Income Accrued but Unpaid 12/31/2019</v>
      </c>
      <c r="B236" s="9"/>
      <c r="C236" s="9"/>
      <c r="D236" s="7"/>
      <c r="E236" s="7"/>
      <c r="F236" s="391">
        <f>I14</f>
        <v>41000000</v>
      </c>
      <c r="G236" s="7"/>
      <c r="H236" s="7"/>
      <c r="I236" s="7"/>
      <c r="J236" s="7"/>
    </row>
    <row r="237" spans="1:18" ht="14.5" x14ac:dyDescent="0.35">
      <c r="A237" s="304" t="str">
        <f>"                   (3) " &amp;year-1&amp; " Contingency Reserve Payment to LOCA/(LOCA Payment to CR)"</f>
        <v xml:space="preserve">                   (3) 2020 Contingency Reserve Payment to LOCA/(LOCA Payment to CR)</v>
      </c>
      <c r="B237" s="9"/>
      <c r="C237" s="9"/>
      <c r="D237" s="7"/>
      <c r="E237" s="7"/>
      <c r="F237" s="391">
        <f>F229</f>
        <v>3562500</v>
      </c>
      <c r="G237" s="7"/>
      <c r="H237" s="7"/>
      <c r="I237" s="7"/>
      <c r="J237" s="7"/>
    </row>
    <row r="238" spans="1:18" ht="14.5" x14ac:dyDescent="0.35">
      <c r="A238" s="9" t="str">
        <f>"                   (4) " &amp;year-1&amp; " Total Premium Income"</f>
        <v xml:space="preserve">                   (4) 2020 Total Premium Income</v>
      </c>
      <c r="B238" s="9"/>
      <c r="C238" s="9"/>
      <c r="D238" s="7"/>
      <c r="E238" s="7"/>
      <c r="F238" s="223">
        <f>G40</f>
        <v>598780000</v>
      </c>
      <c r="G238" s="7"/>
      <c r="H238" s="7"/>
      <c r="I238" s="7"/>
      <c r="J238" s="7"/>
    </row>
    <row r="239" spans="1:18" ht="14.5" x14ac:dyDescent="0.35">
      <c r="A239" s="9" t="str">
        <f>"                   (5) " &amp;year-1&amp; " Estimated Paid Claims"</f>
        <v xml:space="preserve">                   (5) 2020 Estimated Paid Claims</v>
      </c>
      <c r="B239" s="9"/>
      <c r="C239" s="9"/>
      <c r="D239" s="7"/>
      <c r="E239" s="7"/>
      <c r="F239" s="391">
        <f>G80*G157+(1-G80)*G156</f>
        <v>514980829.02667058</v>
      </c>
      <c r="G239" s="7"/>
      <c r="H239" s="7"/>
      <c r="I239" s="7"/>
      <c r="J239" s="7"/>
    </row>
    <row r="240" spans="1:18" ht="14.5" x14ac:dyDescent="0.35">
      <c r="A240" s="9" t="str">
        <f>"                   (6) " &amp;year-1&amp; " Paid Expenses"</f>
        <v xml:space="preserve">                   (6) 2020 Paid Expenses</v>
      </c>
      <c r="B240" s="9"/>
      <c r="C240" s="9"/>
      <c r="D240" s="7"/>
      <c r="E240" s="7"/>
      <c r="F240" s="391">
        <f>C179+E179</f>
        <v>52600000</v>
      </c>
      <c r="G240" s="7"/>
      <c r="H240" s="7"/>
      <c r="I240" s="7"/>
      <c r="J240" s="7"/>
      <c r="R240" s="211"/>
    </row>
    <row r="241" spans="1:18" s="211" customFormat="1" ht="14.5" x14ac:dyDescent="0.35">
      <c r="A241" s="304" t="str">
        <f>"                   (7) " &amp;year-1&amp; " Average Investment Balance"</f>
        <v xml:space="preserve">                   (7) 2020 Average Investment Balance</v>
      </c>
      <c r="B241" s="304"/>
      <c r="C241" s="304"/>
      <c r="D241" s="210"/>
      <c r="E241" s="210"/>
      <c r="F241" s="391">
        <f>IF(NoSpecialPayment1,F235-F236+0.25*F237+0.5*(F238-F239-F240),F235-F236+0.5*(F238-F239-F240)+(((12.5-T1)/12)*E204+((12.5-T2)/12)*E206+((12.5-T3)/12)*E208))</f>
        <v>112490210.48666471</v>
      </c>
      <c r="G241" s="210"/>
      <c r="H241" s="210"/>
      <c r="I241" s="210"/>
      <c r="J241" s="210"/>
      <c r="R241" s="4"/>
    </row>
    <row r="242" spans="1:18" ht="14.5" x14ac:dyDescent="0.35">
      <c r="A242" s="9" t="str">
        <f>"                   (8) " &amp;year-1&amp; " Estimated Interest Plus Investment Income"</f>
        <v xml:space="preserve">                   (8) 2020 Estimated Interest Plus Investment Income</v>
      </c>
      <c r="B242" s="9"/>
      <c r="C242" s="9"/>
      <c r="D242" s="7"/>
      <c r="E242" s="7"/>
      <c r="F242" s="391">
        <f>Yr1LOC*F241</f>
        <v>56245.105243332357</v>
      </c>
      <c r="G242" s="7"/>
      <c r="H242" s="7"/>
      <c r="I242" s="7"/>
      <c r="J242" s="7"/>
    </row>
    <row r="243" spans="1:18" ht="14.5" x14ac:dyDescent="0.35">
      <c r="A243" s="9"/>
      <c r="B243" s="9"/>
      <c r="C243" s="9"/>
      <c r="D243" s="7"/>
      <c r="E243" s="7"/>
      <c r="F243" s="210"/>
      <c r="G243" s="7"/>
      <c r="H243" s="7"/>
      <c r="I243" s="7"/>
      <c r="J243" s="7"/>
    </row>
    <row r="244" spans="1:18" ht="14.5" x14ac:dyDescent="0.35">
      <c r="A244" s="9" t="str">
        <f>"          (c) Special Reserve - " &amp;year-1</f>
        <v xml:space="preserve">          (c) Special Reserve - 2020</v>
      </c>
      <c r="B244" s="9"/>
      <c r="C244" s="9"/>
      <c r="D244" s="7"/>
      <c r="E244" s="7"/>
      <c r="F244" s="210"/>
      <c r="G244" s="7"/>
      <c r="H244" s="7"/>
      <c r="I244" s="7"/>
      <c r="J244" s="7"/>
    </row>
    <row r="245" spans="1:18" ht="14.5" x14ac:dyDescent="0.35">
      <c r="A245" s="9" t="str">
        <f>"                   (1) Income"</f>
        <v xml:space="preserve">                   (1) Income</v>
      </c>
      <c r="B245" s="9"/>
      <c r="C245" s="9"/>
      <c r="D245" s="7"/>
      <c r="E245" s="7"/>
      <c r="F245" s="210"/>
      <c r="G245" s="7"/>
      <c r="H245" s="7"/>
      <c r="I245" s="7"/>
      <c r="J245" s="7"/>
    </row>
    <row r="246" spans="1:18" ht="14.5" x14ac:dyDescent="0.35">
      <c r="A246" s="9" t="str">
        <f>"                           (a) Premium Income"</f>
        <v xml:space="preserve">                           (a) Premium Income</v>
      </c>
      <c r="B246" s="9"/>
      <c r="C246" s="9"/>
      <c r="D246" s="7"/>
      <c r="E246" s="7"/>
      <c r="F246" s="223">
        <f>F238</f>
        <v>598780000</v>
      </c>
      <c r="G246" s="7"/>
      <c r="H246" s="7"/>
      <c r="I246" s="7"/>
      <c r="J246" s="7"/>
    </row>
    <row r="247" spans="1:18" ht="14.5" x14ac:dyDescent="0.35">
      <c r="A247" s="304" t="str">
        <f>"                           (b) Contingency Reserve Payment to LOCA/(LOCA Payment to CR)"</f>
        <v xml:space="preserve">                           (b) Contingency Reserve Payment to LOCA/(LOCA Payment to CR)</v>
      </c>
      <c r="B247" s="9"/>
      <c r="C247" s="9"/>
      <c r="D247" s="7"/>
      <c r="E247" s="7"/>
      <c r="F247" s="391">
        <f>F229</f>
        <v>3562500</v>
      </c>
      <c r="G247" s="7"/>
      <c r="H247" s="7"/>
      <c r="I247" s="7"/>
      <c r="J247" s="7"/>
    </row>
    <row r="248" spans="1:18" ht="14.5" x14ac:dyDescent="0.35">
      <c r="A248" s="9" t="str">
        <f>"                           (c) Estimated Interest + Investment Income"</f>
        <v xml:space="preserve">                           (c) Estimated Interest + Investment Income</v>
      </c>
      <c r="B248" s="9"/>
      <c r="C248" s="9"/>
      <c r="D248" s="7"/>
      <c r="E248" s="7"/>
      <c r="F248" s="391">
        <f>F242</f>
        <v>56245.105243332357</v>
      </c>
      <c r="G248" s="7"/>
      <c r="H248" s="7"/>
      <c r="I248" s="7"/>
      <c r="J248" s="7"/>
    </row>
    <row r="249" spans="1:18" ht="14.5" x14ac:dyDescent="0.35">
      <c r="A249" s="9" t="str">
        <f>"                           (d) Total"</f>
        <v xml:space="preserve">                           (d) Total</v>
      </c>
      <c r="B249" s="9"/>
      <c r="C249" s="9"/>
      <c r="D249" s="7"/>
      <c r="E249" s="7"/>
      <c r="F249" s="223">
        <f>SUM(F246:F248)</f>
        <v>602398745.10524333</v>
      </c>
      <c r="G249" s="7"/>
      <c r="H249" s="7"/>
      <c r="I249" s="7"/>
      <c r="J249" s="7"/>
    </row>
    <row r="250" spans="1:18" ht="14.5" x14ac:dyDescent="0.35">
      <c r="A250" s="9" t="str">
        <f>"                   (2) Outgo"</f>
        <v xml:space="preserve">                   (2) Outgo</v>
      </c>
      <c r="B250" s="9"/>
      <c r="C250" s="9"/>
      <c r="D250" s="7"/>
      <c r="E250" s="7"/>
      <c r="F250" s="210"/>
      <c r="G250" s="7"/>
      <c r="H250" s="7"/>
      <c r="I250" s="7"/>
      <c r="J250" s="7"/>
    </row>
    <row r="251" spans="1:18" ht="14.5" x14ac:dyDescent="0.35">
      <c r="A251" s="9" t="str">
        <f>"                           (a) Incurred Claims"</f>
        <v xml:space="preserve">                           (a) Incurred Claims</v>
      </c>
      <c r="B251" s="9"/>
      <c r="C251" s="9"/>
      <c r="D251" s="7"/>
      <c r="E251" s="7"/>
      <c r="F251" s="391">
        <f>G157</f>
        <v>521976994.83200473</v>
      </c>
      <c r="G251" s="7"/>
      <c r="H251" s="7"/>
      <c r="I251" s="7"/>
      <c r="J251" s="7"/>
    </row>
    <row r="252" spans="1:18" ht="14.5" x14ac:dyDescent="0.35">
      <c r="A252" s="9" t="str">
        <f>"                           (b) Incurred Expenses"</f>
        <v xml:space="preserve">                           (b) Incurred Expenses</v>
      </c>
      <c r="B252" s="9"/>
      <c r="C252" s="9"/>
      <c r="D252" s="7"/>
      <c r="E252" s="7"/>
      <c r="F252" s="391">
        <f>C186+E179</f>
        <v>52705750.35063114</v>
      </c>
      <c r="G252" s="7"/>
      <c r="H252" s="7"/>
      <c r="I252" s="7"/>
      <c r="J252" s="7"/>
    </row>
    <row r="253" spans="1:18" ht="14.5" x14ac:dyDescent="0.35">
      <c r="A253" s="9" t="str">
        <f>"                           (c) Total"</f>
        <v xml:space="preserve">                           (c) Total</v>
      </c>
      <c r="B253" s="9"/>
      <c r="C253" s="9"/>
      <c r="D253" s="7"/>
      <c r="E253" s="7"/>
      <c r="F253" s="391">
        <f>SUM(F251:F252)</f>
        <v>574682745.1826359</v>
      </c>
      <c r="G253" s="7"/>
      <c r="H253" s="7"/>
      <c r="I253" s="7"/>
      <c r="J253" s="7"/>
    </row>
    <row r="254" spans="1:18" ht="14.5" x14ac:dyDescent="0.35">
      <c r="A254" s="9" t="str">
        <f>"                   (3) Gain(Loss)"</f>
        <v xml:space="preserve">                   (3) Gain(Loss)</v>
      </c>
      <c r="B254" s="9"/>
      <c r="C254" s="9"/>
      <c r="D254" s="7"/>
      <c r="E254" s="7"/>
      <c r="F254" s="391">
        <f>F249-F253</f>
        <v>27715999.922607422</v>
      </c>
      <c r="G254" s="7"/>
      <c r="H254" s="7"/>
      <c r="I254" s="7"/>
      <c r="J254" s="7"/>
    </row>
    <row r="255" spans="1:18" ht="14.5" x14ac:dyDescent="0.35">
      <c r="A255" s="9" t="str">
        <f>"                   (4) Reserves"</f>
        <v xml:space="preserve">                   (4) Reserves</v>
      </c>
      <c r="B255" s="9"/>
      <c r="C255" s="9"/>
      <c r="D255" s="7"/>
      <c r="E255" s="7"/>
      <c r="F255" s="210"/>
      <c r="G255" s="7"/>
      <c r="H255" s="7"/>
      <c r="I255" s="7"/>
      <c r="J255" s="7"/>
    </row>
    <row r="256" spans="1:18" ht="14.5" x14ac:dyDescent="0.35">
      <c r="A256" s="9" t="str">
        <f>"                           (a) Beginning Special"</f>
        <v xml:space="preserve">                           (a) Beginning Special</v>
      </c>
      <c r="B256" s="9"/>
      <c r="C256" s="9"/>
      <c r="D256" s="7"/>
      <c r="E256" s="7"/>
      <c r="F256" s="391">
        <f>F167</f>
        <v>47000000</v>
      </c>
      <c r="G256" s="7"/>
      <c r="H256" s="7"/>
      <c r="I256" s="7"/>
      <c r="J256" s="7"/>
    </row>
    <row r="257" spans="1:18" ht="14.5" x14ac:dyDescent="0.35">
      <c r="A257" s="9" t="str">
        <f>"                           (b) Ending Special"</f>
        <v xml:space="preserve">                           (b) Ending Special</v>
      </c>
      <c r="B257" s="9"/>
      <c r="C257" s="9"/>
      <c r="D257" s="7"/>
      <c r="E257" s="7"/>
      <c r="F257" s="391">
        <f>F256+F254</f>
        <v>74715999.922607422</v>
      </c>
      <c r="G257" s="396"/>
      <c r="H257" s="7"/>
      <c r="I257" s="7"/>
      <c r="J257" s="7"/>
    </row>
    <row r="258" spans="1:18" ht="14.5" x14ac:dyDescent="0.35">
      <c r="A258" s="9"/>
      <c r="B258" s="9"/>
      <c r="C258" s="9"/>
      <c r="D258" s="7"/>
      <c r="E258" s="7"/>
      <c r="F258" s="210"/>
      <c r="G258" s="7"/>
      <c r="H258" s="7"/>
      <c r="I258" s="7"/>
      <c r="J258" s="7"/>
    </row>
    <row r="259" spans="1:18" ht="14.5" x14ac:dyDescent="0.35">
      <c r="A259" s="9" t="str">
        <f>"16. " &amp;year&amp; " Contingency Payment, Int. &amp; Inv. Income, and Reserve Calculation"</f>
        <v>16. 2021 Contingency Payment, Int. &amp; Inv. Income, and Reserve Calculation</v>
      </c>
      <c r="B259" s="9"/>
      <c r="C259" s="9"/>
      <c r="D259" s="7"/>
      <c r="E259" s="7"/>
      <c r="F259" s="210"/>
      <c r="G259" s="7"/>
      <c r="H259" s="7"/>
      <c r="I259" s="7"/>
      <c r="J259" s="7"/>
    </row>
    <row r="260" spans="1:18" ht="14.5" x14ac:dyDescent="0.35">
      <c r="A260" s="9"/>
      <c r="B260" s="9"/>
      <c r="C260" s="9"/>
      <c r="D260" s="7"/>
      <c r="E260" s="7"/>
      <c r="F260" s="210"/>
      <c r="G260" s="7"/>
      <c r="H260" s="7"/>
      <c r="I260" s="7"/>
      <c r="J260" s="7"/>
    </row>
    <row r="261" spans="1:18" ht="14.5" x14ac:dyDescent="0.35">
      <c r="A261" s="9" t="str">
        <f>"          (a) Contingency Reserve "</f>
        <v xml:space="preserve">          (a) Contingency Reserve </v>
      </c>
      <c r="B261" s="9"/>
      <c r="C261" s="9"/>
      <c r="D261" s="7"/>
      <c r="E261" s="7"/>
      <c r="F261" s="210"/>
      <c r="G261" s="7"/>
      <c r="H261" s="7"/>
      <c r="I261" s="7"/>
      <c r="J261" s="7"/>
    </row>
    <row r="262" spans="1:18" ht="14.5" x14ac:dyDescent="0.35">
      <c r="A262" s="9" t="str">
        <f>"                   (1) Contingency Reserve Balance on 12/31/" &amp;year-1</f>
        <v xml:space="preserve">                   (1) Contingency Reserve Balance on 12/31/2020</v>
      </c>
      <c r="B262" s="9"/>
      <c r="C262" s="9"/>
      <c r="D262" s="7"/>
      <c r="E262" s="7"/>
      <c r="F262" s="391">
        <f>F232</f>
        <v>91082489.359999999</v>
      </c>
      <c r="G262" s="7"/>
      <c r="H262" s="7"/>
      <c r="I262" s="7"/>
      <c r="J262" s="7"/>
    </row>
    <row r="263" spans="1:18" ht="14.5" x14ac:dyDescent="0.35">
      <c r="A263" s="9" t="str">
        <f>"                   (2) Claims Paid During the Last 6 Months of " &amp;year-1</f>
        <v xml:space="preserve">                   (2) Claims Paid During the Last 6 Months of 2020</v>
      </c>
      <c r="B263" s="9"/>
      <c r="C263" s="9"/>
      <c r="D263" s="7"/>
      <c r="E263" s="7"/>
      <c r="F263" s="391">
        <f>F224*(G157/G156)</f>
        <v>260988497.41600242</v>
      </c>
      <c r="G263" s="7"/>
      <c r="H263" s="7"/>
      <c r="I263" s="7"/>
      <c r="J263" s="7"/>
    </row>
    <row r="264" spans="1:18" ht="14.5" x14ac:dyDescent="0.35">
      <c r="A264" s="9" t="str">
        <f>"                   (3) Paid Expenses for " &amp;year-1</f>
        <v xml:space="preserve">                   (3) Paid Expenses for 2020</v>
      </c>
      <c r="B264" s="9"/>
      <c r="C264" s="9"/>
      <c r="D264" s="7"/>
      <c r="E264" s="7"/>
      <c r="F264" s="391">
        <f>C179+E179</f>
        <v>52600000</v>
      </c>
      <c r="G264" s="7"/>
      <c r="H264" s="7"/>
      <c r="I264" s="7"/>
      <c r="J264" s="7"/>
    </row>
    <row r="265" spans="1:18" ht="14.5" x14ac:dyDescent="0.35">
      <c r="A265" s="9" t="str">
        <f>"                   (4) Three and One-Half Months of Paid Outgo"</f>
        <v xml:space="preserve">                   (4) Three and One-Half Months of Paid Outgo</v>
      </c>
      <c r="B265" s="9"/>
      <c r="C265" s="9"/>
      <c r="D265" s="7"/>
      <c r="E265" s="7"/>
      <c r="F265" s="397">
        <f>(7/12)*F263 + (7/24)*F264</f>
        <v>167584956.82600141</v>
      </c>
      <c r="G265" s="390"/>
      <c r="H265" s="7"/>
      <c r="I265" s="7"/>
      <c r="J265" s="7"/>
    </row>
    <row r="266" spans="1:18" ht="14.5" x14ac:dyDescent="0.35">
      <c r="A266" s="9" t="str">
        <f>"                   (5) Preferred Minimum Balance"</f>
        <v xml:space="preserve">                   (5) Preferred Minimum Balance</v>
      </c>
      <c r="B266" s="9"/>
      <c r="C266" s="9"/>
      <c r="D266" s="7"/>
      <c r="E266" s="7"/>
      <c r="F266" s="391">
        <f>(3/7)*F265</f>
        <v>71822124.354000598</v>
      </c>
      <c r="G266" s="390"/>
      <c r="H266" s="7"/>
      <c r="I266" s="7"/>
      <c r="J266" s="7"/>
    </row>
    <row r="267" spans="1:18" ht="14.5" x14ac:dyDescent="0.35">
      <c r="A267" s="32" t="str">
        <f>"                   (6) Accrued Claims Reserve + Accrued Exp Reserve + Special Reserve 12/31/"&amp;year-1</f>
        <v xml:space="preserve">                   (6) Accrued Claims Reserve + Accrued Exp Reserve + Special Reserve 12/31/2020</v>
      </c>
      <c r="B267" s="9"/>
      <c r="C267" s="9"/>
      <c r="D267" s="7"/>
      <c r="E267" s="7"/>
      <c r="F267" s="391">
        <f>F171+E186+F257</f>
        <v>172020351.25835645</v>
      </c>
      <c r="G267" s="390"/>
      <c r="H267" s="271"/>
      <c r="I267" s="7"/>
      <c r="J267" s="7"/>
    </row>
    <row r="268" spans="1:18" ht="14.5" x14ac:dyDescent="0.35">
      <c r="A268" s="9" t="str">
        <f>"                   (7) " &amp;year&amp; " Contingency Reserve Payment to LOCA/(LOCA Payment to CR)"</f>
        <v xml:space="preserve">                   (7) 2021 Contingency Reserve Payment to LOCA/(LOCA Payment to CR)</v>
      </c>
      <c r="B268" s="9"/>
      <c r="C268" s="9"/>
      <c r="D268" s="7"/>
      <c r="E268" s="7"/>
      <c r="F268" s="391">
        <f>IF(NoSpecialPayment2,IF(F267&gt;F265,-(F267-F265),MIN(F265-F267,F262-F266)),E210+E212+E214)</f>
        <v>-4435394.4323550463</v>
      </c>
      <c r="G268" s="390"/>
      <c r="H268" s="390"/>
      <c r="I268" s="7"/>
      <c r="J268" s="7"/>
      <c r="R268" s="211"/>
    </row>
    <row r="269" spans="1:18" s="211" customFormat="1" ht="14.5" x14ac:dyDescent="0.35">
      <c r="A269" s="304" t="str">
        <f>"                   (8) " &amp;year&amp; " Payments to Contingency Reserve Fund"</f>
        <v xml:space="preserve">                   (8) 2021 Payments to Contingency Reserve Fund</v>
      </c>
      <c r="B269" s="304"/>
      <c r="C269" s="304"/>
      <c r="D269" s="210"/>
      <c r="E269" s="210"/>
      <c r="F269" s="391">
        <f>F45*(0.04-OPMadmin)</f>
        <v>25370280</v>
      </c>
      <c r="G269" s="392"/>
      <c r="H269" s="393"/>
      <c r="I269" s="210"/>
      <c r="J269" s="210"/>
    </row>
    <row r="270" spans="1:18" s="211" customFormat="1" ht="14.5" x14ac:dyDescent="0.35">
      <c r="A270" s="304" t="str">
        <f>"                   (9) " &amp;year&amp; " Interest on Contingency Reserve Fund"</f>
        <v xml:space="preserve">                   (9) 2021 Interest on Contingency Reserve Fund</v>
      </c>
      <c r="B270" s="304"/>
      <c r="C270" s="304"/>
      <c r="D270" s="210"/>
      <c r="E270" s="210"/>
      <c r="F270" s="391">
        <f>IF(NoSpecialPayment2,Yr2CR*(F262+0.5*F269-0.25*F268),Yr2CR*(F262+0.5*F269-(((12.5-T4)/12)*E210+((12.5-T5)/12)*E212+((12.5-T6)/12)*E214)))</f>
        <v>1678023.6474894201</v>
      </c>
      <c r="G270" s="392"/>
      <c r="H270" s="393"/>
      <c r="I270" s="210"/>
      <c r="J270" s="210"/>
      <c r="R270" s="4"/>
    </row>
    <row r="271" spans="1:18" ht="14.5" x14ac:dyDescent="0.35">
      <c r="A271" s="9" t="str">
        <f>"                 (10) 12/31/" &amp;year&amp; " Contingency Reserve Balance"</f>
        <v xml:space="preserve">                 (10) 12/31/2021 Contingency Reserve Balance</v>
      </c>
      <c r="B271" s="9"/>
      <c r="C271" s="9"/>
      <c r="D271" s="7"/>
      <c r="E271" s="7"/>
      <c r="F271" s="391">
        <f>F262+F269+F270-F268</f>
        <v>122566187.43984446</v>
      </c>
      <c r="G271" s="390"/>
      <c r="H271" s="7"/>
      <c r="I271" s="7"/>
      <c r="J271" s="7"/>
    </row>
    <row r="272" spans="1:18" ht="14.5" x14ac:dyDescent="0.35">
      <c r="A272" s="9"/>
      <c r="B272" s="9"/>
      <c r="C272" s="9"/>
      <c r="D272" s="7"/>
      <c r="E272" s="7"/>
      <c r="F272" s="210"/>
      <c r="G272" s="7"/>
      <c r="H272" s="7"/>
      <c r="I272" s="7"/>
      <c r="J272" s="7"/>
    </row>
    <row r="273" spans="1:18" ht="14.5" x14ac:dyDescent="0.35">
      <c r="A273" s="9" t="str">
        <f>"          (b) Estimated Interest Plus Investment Income "</f>
        <v xml:space="preserve">          (b) Estimated Interest Plus Investment Income </v>
      </c>
      <c r="B273" s="9"/>
      <c r="C273" s="9"/>
      <c r="D273" s="7"/>
      <c r="E273" s="7"/>
      <c r="F273" s="210"/>
      <c r="G273" s="7"/>
      <c r="H273" s="7"/>
      <c r="I273" s="7"/>
      <c r="J273" s="7"/>
    </row>
    <row r="274" spans="1:18" ht="14.5" x14ac:dyDescent="0.35">
      <c r="A274" s="32" t="str">
        <f>"                   (1) Accrued Claims Reserve + Accrued Exp Reserve + Special Reserve 12/31/"&amp;year-1</f>
        <v xml:space="preserve">                   (1) Accrued Claims Reserve + Accrued Exp Reserve + Special Reserve 12/31/2020</v>
      </c>
      <c r="B274" s="9"/>
      <c r="C274" s="9"/>
      <c r="D274" s="7"/>
      <c r="E274" s="7"/>
      <c r="F274" s="391">
        <f>F267</f>
        <v>172020351.25835645</v>
      </c>
      <c r="G274" s="7"/>
      <c r="H274" s="7"/>
      <c r="I274" s="7"/>
      <c r="J274" s="7"/>
    </row>
    <row r="275" spans="1:18" ht="14.5" x14ac:dyDescent="0.35">
      <c r="A275" s="9" t="str">
        <f>"                   (2) Premium Income Accrued but Unpaid 12/31/" &amp;year-1</f>
        <v xml:space="preserve">                   (2) Premium Income Accrued but Unpaid 12/31/2020</v>
      </c>
      <c r="B275" s="9"/>
      <c r="C275" s="9"/>
      <c r="D275" s="7"/>
      <c r="E275" s="7"/>
      <c r="F275" s="391">
        <f>F236*(G40/G35)</f>
        <v>48855681.592039801</v>
      </c>
      <c r="G275" s="7"/>
      <c r="H275" s="7"/>
      <c r="I275" s="7"/>
      <c r="J275" s="7"/>
    </row>
    <row r="276" spans="1:18" ht="14.5" x14ac:dyDescent="0.35">
      <c r="A276" s="304" t="str">
        <f>"                   (3) " &amp;year&amp; " Contingency Reserve Payment to LOCA/(LOCA Payment to CR)"</f>
        <v xml:space="preserve">                   (3) 2021 Contingency Reserve Payment to LOCA/(LOCA Payment to CR)</v>
      </c>
      <c r="B276" s="9"/>
      <c r="C276" s="9"/>
      <c r="D276" s="7"/>
      <c r="E276" s="7"/>
      <c r="F276" s="391">
        <f>F268</f>
        <v>-4435394.4323550463</v>
      </c>
      <c r="G276" s="7"/>
      <c r="H276" s="7"/>
      <c r="I276" s="7"/>
      <c r="J276" s="7"/>
    </row>
    <row r="277" spans="1:18" ht="14.5" x14ac:dyDescent="0.35">
      <c r="A277" s="9" t="str">
        <f>"                   (4) " &amp;year&amp; " Total Premium Income"</f>
        <v xml:space="preserve">                   (4) 2021 Total Premium Income</v>
      </c>
      <c r="B277" s="9"/>
      <c r="C277" s="9"/>
      <c r="D277" s="7"/>
      <c r="E277" s="7"/>
      <c r="F277" s="391">
        <f>F45</f>
        <v>650520000</v>
      </c>
      <c r="G277" s="7"/>
      <c r="H277" s="7"/>
      <c r="I277" s="7"/>
      <c r="J277" s="7"/>
    </row>
    <row r="278" spans="1:18" ht="14.5" x14ac:dyDescent="0.35">
      <c r="A278" s="9" t="str">
        <f>"                   (5) " &amp;year&amp; " Estimated Paid Claims"</f>
        <v xml:space="preserve">                   (5) 2021 Estimated Paid Claims</v>
      </c>
      <c r="B278" s="9"/>
      <c r="C278" s="9"/>
      <c r="D278" s="7"/>
      <c r="E278" s="7"/>
      <c r="F278" s="391">
        <f>(G80*G158)+((1-G80)*G157)</f>
        <v>587123645.872105</v>
      </c>
      <c r="G278" s="7"/>
      <c r="H278" s="7"/>
      <c r="I278" s="7"/>
      <c r="J278" s="7"/>
    </row>
    <row r="279" spans="1:18" ht="14.5" x14ac:dyDescent="0.35">
      <c r="A279" s="9" t="str">
        <f>"                   (6) " &amp;year&amp; " Paid Expenses"</f>
        <v xml:space="preserve">                   (6) 2021 Paid Expenses</v>
      </c>
      <c r="B279" s="9"/>
      <c r="C279" s="9"/>
      <c r="D279" s="7"/>
      <c r="E279" s="7"/>
      <c r="F279" s="391">
        <f>C180+E180</f>
        <v>53700000</v>
      </c>
      <c r="G279" s="7"/>
      <c r="H279" s="7"/>
      <c r="I279" s="7"/>
      <c r="J279" s="7"/>
      <c r="R279" s="211"/>
    </row>
    <row r="280" spans="1:18" s="211" customFormat="1" ht="14.5" x14ac:dyDescent="0.35">
      <c r="A280" s="304" t="str">
        <f>"                   (7) " &amp;year&amp; " Average Investment Balance"</f>
        <v xml:space="preserve">                   (7) 2021 Average Investment Balance</v>
      </c>
      <c r="B280" s="304"/>
      <c r="C280" s="304"/>
      <c r="D280" s="210"/>
      <c r="E280" s="210"/>
      <c r="F280" s="391">
        <f>IF(NoSpecialPayment2,F274-F275+0.25*F276+0.5*(F277-F278-F279),F274-F275+0.5*(F277-F278-F279)+(((12.5-T4)/12)*E210+((12.5-T5)/12)*E212+((12.5-T6)/12)*E214))</f>
        <v>126903998.1221754</v>
      </c>
      <c r="G280" s="210"/>
      <c r="H280" s="210"/>
      <c r="I280" s="210"/>
      <c r="J280" s="210"/>
      <c r="R280" s="4"/>
    </row>
    <row r="281" spans="1:18" ht="14.5" x14ac:dyDescent="0.35">
      <c r="A281" s="9" t="str">
        <f>"                   (8) " &amp;year&amp; " Estimated Interest Plus Investment Income"</f>
        <v xml:space="preserve">                   (8) 2021 Estimated Interest Plus Investment Income</v>
      </c>
      <c r="B281" s="9"/>
      <c r="C281" s="9"/>
      <c r="D281" s="7"/>
      <c r="E281" s="7"/>
      <c r="F281" s="391">
        <f>Yr2LOC*F280</f>
        <v>63451.999061087699</v>
      </c>
      <c r="G281" s="7"/>
      <c r="H281" s="7"/>
      <c r="I281" s="7"/>
      <c r="J281" s="7"/>
    </row>
    <row r="282" spans="1:18" ht="14.5" x14ac:dyDescent="0.35">
      <c r="A282" s="7"/>
      <c r="B282" s="7"/>
      <c r="C282" s="7"/>
      <c r="D282" s="7"/>
      <c r="E282" s="7"/>
      <c r="F282" s="7"/>
      <c r="G282" s="7"/>
      <c r="H282" s="7"/>
      <c r="I282" s="7"/>
      <c r="J282" s="7"/>
    </row>
  </sheetData>
  <sheetProtection algorithmName="SHA-512" hashValue="E5KI/cv9PZ71b6ob5vgTQuEOwu+Si1ORD08t5wfoanhRkRdle6KBLE2pG1urN+S23AaldT4rKelBOhSW+vI2BA==" saltValue="foFPLR1ufquCJHS2GtNNyw==" spinCount="100000" sheet="1" objects="1" scenarios="1"/>
  <mergeCells count="41">
    <mergeCell ref="A132:I133"/>
    <mergeCell ref="B59:G61"/>
    <mergeCell ref="A131:I131"/>
    <mergeCell ref="B147:C147"/>
    <mergeCell ref="B148:C148"/>
    <mergeCell ref="E125:E126"/>
    <mergeCell ref="G125:G126"/>
    <mergeCell ref="B129:C129"/>
    <mergeCell ref="B128:C128"/>
    <mergeCell ref="B127:C127"/>
    <mergeCell ref="B114:D114"/>
    <mergeCell ref="E114:I114"/>
    <mergeCell ref="A107:I107"/>
    <mergeCell ref="A110:I110"/>
    <mergeCell ref="A109:I109"/>
    <mergeCell ref="A108:I108"/>
    <mergeCell ref="B153:F153"/>
    <mergeCell ref="B146:C146"/>
    <mergeCell ref="B138:C138"/>
    <mergeCell ref="B139:C139"/>
    <mergeCell ref="B140:C140"/>
    <mergeCell ref="A106:I106"/>
    <mergeCell ref="I24:J24"/>
    <mergeCell ref="F54:F55"/>
    <mergeCell ref="C54:C55"/>
    <mergeCell ref="D54:D55"/>
    <mergeCell ref="E54:E55"/>
    <mergeCell ref="G54:G55"/>
    <mergeCell ref="I54:J60"/>
    <mergeCell ref="F24:G24"/>
    <mergeCell ref="B54:B55"/>
    <mergeCell ref="A86:I86"/>
    <mergeCell ref="A87:I87"/>
    <mergeCell ref="A88:I88"/>
    <mergeCell ref="F97:G97"/>
    <mergeCell ref="A89:I89"/>
    <mergeCell ref="A1:K1"/>
    <mergeCell ref="A2:K2"/>
    <mergeCell ref="A54:A55"/>
    <mergeCell ref="D5:F5"/>
    <mergeCell ref="H5:J5"/>
  </mergeCells>
  <phoneticPr fontId="3" type="noConversion"/>
  <dataValidations count="4">
    <dataValidation type="list" allowBlank="1" showInputMessage="1" showErrorMessage="1" sqref="E215 E213 E211 E209 E207 E205" xr:uid="{00000000-0002-0000-1000-000000000000}">
      <formula1>$S$1:$S$13</formula1>
    </dataValidation>
    <dataValidation type="custom" allowBlank="1" showInputMessage="1" showErrorMessage="1" sqref="F11" xr:uid="{00000000-0002-0000-1000-000001000000}">
      <formula1>"&gt;0"</formula1>
    </dataValidation>
    <dataValidation type="custom" allowBlank="1" showInputMessage="1" showErrorMessage="1" error="Accrued Income of Previous Year must be a positive value." sqref="E11:E12 I11:I12" xr:uid="{00000000-0002-0000-1000-000002000000}">
      <formula1>E11&gt;=0</formula1>
    </dataValidation>
    <dataValidation type="custom" allowBlank="1" showInputMessage="1" showErrorMessage="1" error="Return of Excess Reserves must be a positive value." sqref="I20" xr:uid="{00000000-0002-0000-1000-000003000000}">
      <formula1>I20&gt;=0</formula1>
    </dataValidation>
  </dataValidations>
  <pageMargins left="0.75" right="0.75" top="1" bottom="1" header="0.5" footer="0.5"/>
  <pageSetup scale="51" fitToHeight="11" orientation="portrait" r:id="rId1"/>
  <headerFooter alignWithMargins="0">
    <oddFooter>&amp;C&amp;P</oddFooter>
  </headerFooter>
  <rowBreaks count="3" manualBreakCount="3">
    <brk id="85" max="10" man="1"/>
    <brk id="149" max="10" man="1"/>
    <brk id="218"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4000000}">
          <x14:formula1>
            <xm:f>'Proposal Questions'!$S$1:$S$2</xm:f>
          </x14:formula1>
          <xm:sqref>E48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tabColor rgb="FF00FF00"/>
  </sheetPr>
  <dimension ref="A1:I77"/>
  <sheetViews>
    <sheetView zoomScaleNormal="100" workbookViewId="0">
      <selection activeCell="A4" sqref="A4"/>
    </sheetView>
  </sheetViews>
  <sheetFormatPr defaultColWidth="9.1796875" defaultRowHeight="13" x14ac:dyDescent="0.3"/>
  <cols>
    <col min="1" max="6" width="8.7265625" style="6" customWidth="1"/>
    <col min="7" max="9" width="20.7265625" style="6" customWidth="1"/>
    <col min="10" max="16384" width="9.1796875" style="6"/>
  </cols>
  <sheetData>
    <row r="1" spans="1:9" ht="18.5" x14ac:dyDescent="0.45">
      <c r="A1" s="479" t="s">
        <v>88</v>
      </c>
      <c r="B1" s="479"/>
      <c r="C1" s="479"/>
      <c r="D1" s="479"/>
      <c r="E1" s="479"/>
      <c r="F1" s="479"/>
      <c r="G1" s="479"/>
      <c r="H1" s="479"/>
      <c r="I1" s="479"/>
    </row>
    <row r="2" spans="1:9" x14ac:dyDescent="0.3">
      <c r="A2" s="470" t="s">
        <v>398</v>
      </c>
      <c r="B2" s="470"/>
      <c r="C2" s="470"/>
      <c r="D2" s="470"/>
      <c r="E2" s="470"/>
      <c r="F2" s="470"/>
      <c r="G2" s="470"/>
      <c r="H2" s="470"/>
      <c r="I2" s="470"/>
    </row>
    <row r="3" spans="1:9" x14ac:dyDescent="0.3">
      <c r="A3" s="470" t="s">
        <v>399</v>
      </c>
      <c r="B3" s="470"/>
      <c r="C3" s="470"/>
      <c r="D3" s="470"/>
      <c r="E3" s="470"/>
      <c r="F3" s="470"/>
      <c r="G3" s="470"/>
      <c r="H3" s="470"/>
      <c r="I3" s="470"/>
    </row>
    <row r="4" spans="1:9" ht="13.5" thickBot="1" x14ac:dyDescent="0.35">
      <c r="A4" s="353"/>
      <c r="B4" s="353"/>
      <c r="C4" s="353"/>
      <c r="D4" s="353"/>
      <c r="E4" s="353"/>
      <c r="F4" s="353"/>
      <c r="G4" s="353"/>
      <c r="H4" s="353"/>
      <c r="I4" s="353"/>
    </row>
    <row r="5" spans="1:9" ht="15" thickBot="1" x14ac:dyDescent="0.4">
      <c r="A5" s="61"/>
      <c r="B5" s="62"/>
      <c r="C5" s="62"/>
      <c r="D5" s="62"/>
      <c r="E5" s="62"/>
      <c r="F5" s="63"/>
      <c r="G5" s="58">
        <f>year-2</f>
        <v>2019</v>
      </c>
      <c r="H5" s="58">
        <f>year-1</f>
        <v>2020</v>
      </c>
      <c r="I5" s="58">
        <f>year</f>
        <v>2021</v>
      </c>
    </row>
    <row r="6" spans="1:9" ht="14.5" x14ac:dyDescent="0.35">
      <c r="A6" s="64" t="s">
        <v>89</v>
      </c>
      <c r="B6" s="65"/>
      <c r="C6" s="65"/>
      <c r="D6" s="65"/>
      <c r="E6" s="65"/>
      <c r="F6" s="66"/>
      <c r="G6" s="67"/>
      <c r="H6" s="67"/>
      <c r="I6" s="67"/>
    </row>
    <row r="7" spans="1:9" ht="14.5" x14ac:dyDescent="0.35">
      <c r="A7" s="64" t="str">
        <f>"       1. Incurred Premium Income"</f>
        <v xml:space="preserve">       1. Incurred Premium Income</v>
      </c>
      <c r="B7" s="65"/>
      <c r="C7" s="65"/>
      <c r="D7" s="65"/>
      <c r="E7" s="65"/>
      <c r="F7" s="66"/>
      <c r="G7" s="68">
        <f>'Rate Proposal - Example'!G35</f>
        <v>502500000</v>
      </c>
      <c r="H7" s="68">
        <f>'Rate Proposal - Example'!G40</f>
        <v>598780000</v>
      </c>
      <c r="I7" s="68">
        <f>'Rate Proposal - Example'!F45</f>
        <v>650520000</v>
      </c>
    </row>
    <row r="8" spans="1:9" ht="14.5" x14ac:dyDescent="0.35">
      <c r="A8" s="64" t="str">
        <f>"       2. Contingency Reserve Payment"</f>
        <v xml:space="preserve">       2. Contingency Reserve Payment</v>
      </c>
      <c r="B8" s="65"/>
      <c r="C8" s="65"/>
      <c r="D8" s="65"/>
      <c r="E8" s="65"/>
      <c r="F8" s="66"/>
      <c r="G8" s="68">
        <f>'Rate Proposal - Example'!I18-'Rate Proposal - Example'!I20</f>
        <v>20000000</v>
      </c>
      <c r="H8" s="68">
        <f>'Rate Proposal - Example'!F229</f>
        <v>3562500</v>
      </c>
      <c r="I8" s="68">
        <f>'Rate Proposal - Example'!F268</f>
        <v>-4435394.4323550463</v>
      </c>
    </row>
    <row r="9" spans="1:9" ht="14.5" x14ac:dyDescent="0.35">
      <c r="A9" s="244" t="str">
        <f>"       3. Interest + Investment Income"</f>
        <v xml:space="preserve">       3. Interest + Investment Income</v>
      </c>
      <c r="B9" s="65"/>
      <c r="C9" s="65"/>
      <c r="D9" s="65"/>
      <c r="E9" s="65"/>
      <c r="F9" s="66"/>
      <c r="G9" s="68">
        <f>'Rate Proposal - Example'!I9+'Rate Proposal - Example'!I16+'Rate Proposal - Example'!I15-'Rate Proposal - Example'!I12</f>
        <v>1290500</v>
      </c>
      <c r="H9" s="68">
        <f>'Rate Proposal - Example'!F248</f>
        <v>56245.105243332357</v>
      </c>
      <c r="I9" s="68">
        <f>'Rate Proposal - Example'!F281</f>
        <v>63451.999061087699</v>
      </c>
    </row>
    <row r="10" spans="1:9" ht="14.5" x14ac:dyDescent="0.35">
      <c r="A10" s="64" t="str">
        <f>"       4. Total"</f>
        <v xml:space="preserve">       4. Total</v>
      </c>
      <c r="B10" s="65"/>
      <c r="C10" s="65"/>
      <c r="D10" s="65"/>
      <c r="E10" s="65"/>
      <c r="F10" s="66"/>
      <c r="G10" s="68">
        <f>SUM(G7, G8:G9)</f>
        <v>523790500</v>
      </c>
      <c r="H10" s="68">
        <f>SUM(H7, H8:H9)</f>
        <v>602398745.10524333</v>
      </c>
      <c r="I10" s="68">
        <f>SUM(I7, I8:I9)</f>
        <v>646148057.56670606</v>
      </c>
    </row>
    <row r="11" spans="1:9" ht="14.5" x14ac:dyDescent="0.35">
      <c r="A11" s="64" t="s">
        <v>90</v>
      </c>
      <c r="B11" s="65"/>
      <c r="C11" s="65"/>
      <c r="D11" s="65"/>
      <c r="E11" s="65"/>
      <c r="F11" s="66"/>
      <c r="G11" s="67"/>
      <c r="H11" s="68"/>
      <c r="I11" s="67"/>
    </row>
    <row r="12" spans="1:9" ht="14.5" x14ac:dyDescent="0.35">
      <c r="A12" s="64" t="str">
        <f>"       1. Incurred Claims"</f>
        <v xml:space="preserve">       1. Incurred Claims</v>
      </c>
      <c r="B12" s="65"/>
      <c r="C12" s="65"/>
      <c r="D12" s="65"/>
      <c r="E12" s="65"/>
      <c r="F12" s="66"/>
      <c r="G12" s="68">
        <f>'Rate Proposal - Example'!G156</f>
        <v>479999999.99999988</v>
      </c>
      <c r="H12" s="68">
        <f>'Rate Proposal - Example'!G157</f>
        <v>521976994.83200473</v>
      </c>
      <c r="I12" s="68">
        <f>'Rate Proposal - Example'!G158</f>
        <v>600152976.08012497</v>
      </c>
    </row>
    <row r="13" spans="1:9" ht="14.5" x14ac:dyDescent="0.35">
      <c r="A13" s="64" t="str">
        <f>"       2. Incurred Expenses"</f>
        <v xml:space="preserve">       2. Incurred Expenses</v>
      </c>
      <c r="B13" s="65"/>
      <c r="C13" s="65"/>
      <c r="D13" s="65"/>
      <c r="E13" s="65"/>
      <c r="F13" s="66"/>
      <c r="G13" s="68">
        <f>'Rate Proposal - Example'!C185+'Rate Proposal - Example'!E178</f>
        <v>51971248.246844314</v>
      </c>
      <c r="H13" s="68">
        <f>'Rate Proposal - Example'!C186+'Rate Proposal - Example'!E179</f>
        <v>52705750.35063114</v>
      </c>
      <c r="I13" s="68">
        <f>'Rate Proposal - Example'!C187+'Rate Proposal - Example'!E180</f>
        <v>53878849.929873772</v>
      </c>
    </row>
    <row r="14" spans="1:9" ht="14.5" x14ac:dyDescent="0.35">
      <c r="A14" s="64" t="str">
        <f>"       3. Total"</f>
        <v xml:space="preserve">       3. Total</v>
      </c>
      <c r="B14" s="65"/>
      <c r="C14" s="65"/>
      <c r="D14" s="65"/>
      <c r="E14" s="65"/>
      <c r="F14" s="66"/>
      <c r="G14" s="68">
        <f>SUM(G12:G13)</f>
        <v>531971248.24684417</v>
      </c>
      <c r="H14" s="68">
        <f>SUM(H12:H13)</f>
        <v>574682745.1826359</v>
      </c>
      <c r="I14" s="68">
        <f>SUM(I12:I13)</f>
        <v>654031826.0099988</v>
      </c>
    </row>
    <row r="15" spans="1:9" ht="14.5" x14ac:dyDescent="0.35">
      <c r="A15" s="64" t="s">
        <v>91</v>
      </c>
      <c r="B15" s="65"/>
      <c r="C15" s="65"/>
      <c r="D15" s="65"/>
      <c r="E15" s="65"/>
      <c r="F15" s="66"/>
      <c r="G15" s="67"/>
      <c r="H15" s="68"/>
      <c r="I15" s="67"/>
    </row>
    <row r="16" spans="1:9" ht="14.5" x14ac:dyDescent="0.35">
      <c r="A16" s="64" t="str">
        <f>"       1. Gain (Loss)"</f>
        <v xml:space="preserve">       1. Gain (Loss)</v>
      </c>
      <c r="B16" s="65"/>
      <c r="C16" s="65"/>
      <c r="D16" s="65"/>
      <c r="E16" s="65"/>
      <c r="F16" s="66"/>
      <c r="G16" s="68">
        <f>G10-G14</f>
        <v>-8180748.2468441725</v>
      </c>
      <c r="H16" s="68">
        <f>H10-H14</f>
        <v>27715999.922607422</v>
      </c>
      <c r="I16" s="68">
        <f>I10-I14</f>
        <v>-7883768.443292737</v>
      </c>
    </row>
    <row r="17" spans="1:9" ht="14.5" x14ac:dyDescent="0.35">
      <c r="A17" s="64" t="str">
        <f>"       2. Ratio of 1.04* Incurred Premium Income/Outgo"</f>
        <v xml:space="preserve">       2. Ratio of 1.04* Incurred Premium Income/Outgo</v>
      </c>
      <c r="B17" s="65"/>
      <c r="C17" s="65"/>
      <c r="D17" s="65"/>
      <c r="E17" s="65"/>
      <c r="F17" s="66"/>
      <c r="G17" s="69">
        <f>1.04*G7/G14</f>
        <v>0.98238391966158334</v>
      </c>
      <c r="H17" s="69">
        <f>1.04*H7/H14</f>
        <v>1.0836086609875404</v>
      </c>
      <c r="I17" s="69">
        <f>1.04*I7/I14</f>
        <v>1.0344157166285315</v>
      </c>
    </row>
    <row r="18" spans="1:9" ht="14.5" x14ac:dyDescent="0.35">
      <c r="A18" s="64" t="s">
        <v>92</v>
      </c>
      <c r="B18" s="65"/>
      <c r="C18" s="65"/>
      <c r="D18" s="65"/>
      <c r="E18" s="65"/>
      <c r="F18" s="66"/>
      <c r="G18" s="67"/>
      <c r="H18" s="67"/>
      <c r="I18" s="67"/>
    </row>
    <row r="19" spans="1:9" ht="14.5" x14ac:dyDescent="0.35">
      <c r="A19" s="64" t="str">
        <f>"       1. Beginning Special"</f>
        <v xml:space="preserve">       1. Beginning Special</v>
      </c>
      <c r="B19" s="65"/>
      <c r="C19" s="65"/>
      <c r="D19" s="65"/>
      <c r="E19" s="65"/>
      <c r="F19" s="66"/>
      <c r="G19" s="68">
        <f>-G16+'Rate Proposal - Example'!F167</f>
        <v>55180748.246844172</v>
      </c>
      <c r="H19" s="68">
        <f>'Rate Proposal - Example'!F256</f>
        <v>47000000</v>
      </c>
      <c r="I19" s="68">
        <f>'Rate Proposal - Example'!F257</f>
        <v>74715999.922607422</v>
      </c>
    </row>
    <row r="20" spans="1:9" ht="14.5" x14ac:dyDescent="0.35">
      <c r="A20" s="64" t="str">
        <f>"       2. Ending Special"</f>
        <v xml:space="preserve">       2. Ending Special</v>
      </c>
      <c r="B20" s="65"/>
      <c r="C20" s="65"/>
      <c r="D20" s="65"/>
      <c r="E20" s="65"/>
      <c r="F20" s="66"/>
      <c r="G20" s="68">
        <f>'Rate Proposal - Example'!F167</f>
        <v>47000000</v>
      </c>
      <c r="H20" s="68">
        <f>'Rate Proposal - Example'!F257</f>
        <v>74715999.922607422</v>
      </c>
      <c r="I20" s="68">
        <f>I19+I16</f>
        <v>66832231.479314685</v>
      </c>
    </row>
    <row r="21" spans="1:9" ht="14.5" x14ac:dyDescent="0.35">
      <c r="A21" s="64" t="str">
        <f>"       3. Ending Contingency Reserve"</f>
        <v xml:space="preserve">       3. Ending Contingency Reserve</v>
      </c>
      <c r="B21" s="65"/>
      <c r="C21" s="65"/>
      <c r="D21" s="65"/>
      <c r="E21" s="65"/>
      <c r="F21" s="66"/>
      <c r="G21" s="68">
        <f>'Rate Proposal - Example'!E198</f>
        <v>70000000</v>
      </c>
      <c r="H21" s="68">
        <f>'Rate Proposal - Example'!F232</f>
        <v>91082489.359999999</v>
      </c>
      <c r="I21" s="68">
        <f>'Rate Proposal - Example'!F271</f>
        <v>122566187.43984446</v>
      </c>
    </row>
    <row r="22" spans="1:9" ht="14.5" x14ac:dyDescent="0.35">
      <c r="A22" s="64" t="str">
        <f>"       4. Total Unobligated Reserve"</f>
        <v xml:space="preserve">       4. Total Unobligated Reserve</v>
      </c>
      <c r="B22" s="65"/>
      <c r="C22" s="65"/>
      <c r="D22" s="65"/>
      <c r="E22" s="65"/>
      <c r="F22" s="66"/>
      <c r="G22" s="68">
        <f>G20+G21</f>
        <v>117000000</v>
      </c>
      <c r="H22" s="68">
        <f>H20+H21</f>
        <v>165798489.28260744</v>
      </c>
      <c r="I22" s="68">
        <f>I20+I21</f>
        <v>189398418.91915914</v>
      </c>
    </row>
    <row r="23" spans="1:9" ht="14.5" x14ac:dyDescent="0.35">
      <c r="A23" s="64" t="str">
        <f>"       5. Accrued Claims Reserve"</f>
        <v xml:space="preserve">       5. Accrued Claims Reserve</v>
      </c>
      <c r="B23" s="65"/>
      <c r="C23" s="65"/>
      <c r="D23" s="65"/>
      <c r="E23" s="65"/>
      <c r="F23" s="66"/>
      <c r="G23" s="68">
        <f>'Rate Proposal - Example'!F170</f>
        <v>82000000</v>
      </c>
      <c r="H23" s="68">
        <f>'Rate Proposal - Example'!F171</f>
        <v>89120059.610643849</v>
      </c>
      <c r="I23" s="68">
        <f>'Rate Proposal - Example'!F172</f>
        <v>102335128.73384973</v>
      </c>
    </row>
    <row r="24" spans="1:9" ht="14.5" x14ac:dyDescent="0.35">
      <c r="A24" s="64" t="str">
        <f>"       6. Accrued Adm. Expense Reserve"</f>
        <v xml:space="preserve">       6. Accrued Adm. Expense Reserve</v>
      </c>
      <c r="B24" s="65"/>
      <c r="C24" s="65"/>
      <c r="D24" s="65"/>
      <c r="E24" s="65"/>
      <c r="F24" s="66"/>
      <c r="G24" s="68">
        <f>'Rate Proposal - Example'!E185</f>
        <v>8000000</v>
      </c>
      <c r="H24" s="68">
        <f>'Rate Proposal - Example'!E186</f>
        <v>8184291.7251051879</v>
      </c>
      <c r="I24" s="68">
        <f>'Rate Proposal - Example'!E187</f>
        <v>8363141.6549789598</v>
      </c>
    </row>
    <row r="25" spans="1:9" ht="14.5" x14ac:dyDescent="0.35">
      <c r="A25" s="64" t="str">
        <f>"       7. Total Reserves"</f>
        <v xml:space="preserve">       7. Total Reserves</v>
      </c>
      <c r="B25" s="65"/>
      <c r="C25" s="65"/>
      <c r="D25" s="65"/>
      <c r="E25" s="65"/>
      <c r="F25" s="66"/>
      <c r="G25" s="68">
        <f>G24+G23+G22</f>
        <v>207000000</v>
      </c>
      <c r="H25" s="68">
        <f>H24+H23+H22</f>
        <v>263102840.61835647</v>
      </c>
      <c r="I25" s="68">
        <f>I22+I23+I24</f>
        <v>300096689.30798781</v>
      </c>
    </row>
    <row r="26" spans="1:9" ht="15" thickBot="1" x14ac:dyDescent="0.4">
      <c r="A26" s="70" t="s">
        <v>368</v>
      </c>
      <c r="B26" s="71"/>
      <c r="C26" s="71"/>
      <c r="D26" s="71"/>
      <c r="E26" s="71"/>
      <c r="F26" s="72"/>
      <c r="G26" s="403">
        <f>G22/(G14/12)</f>
        <v>2.6392403811803731</v>
      </c>
      <c r="H26" s="403">
        <f>H22/(H14/12)</f>
        <v>3.4620525639046185</v>
      </c>
      <c r="I26" s="403">
        <f>I22/(I14/12)</f>
        <v>3.4750312395274228</v>
      </c>
    </row>
    <row r="27" spans="1:9" x14ac:dyDescent="0.3">
      <c r="A27" s="60"/>
      <c r="B27" s="60"/>
      <c r="C27" s="60"/>
      <c r="D27" s="60"/>
      <c r="E27" s="60"/>
      <c r="F27" s="60"/>
    </row>
    <row r="28" spans="1:9" x14ac:dyDescent="0.3">
      <c r="A28" s="60"/>
      <c r="B28" s="60"/>
      <c r="C28" s="60"/>
      <c r="D28" s="60"/>
      <c r="E28" s="60"/>
      <c r="F28" s="60"/>
    </row>
    <row r="29" spans="1:9" x14ac:dyDescent="0.3">
      <c r="A29" s="60"/>
      <c r="B29" s="60"/>
      <c r="C29" s="60"/>
      <c r="D29" s="60"/>
      <c r="E29" s="60"/>
      <c r="F29" s="60"/>
    </row>
    <row r="30" spans="1:9" x14ac:dyDescent="0.3">
      <c r="A30" s="60"/>
      <c r="B30" s="60"/>
      <c r="C30" s="60"/>
      <c r="D30" s="60"/>
      <c r="E30" s="60"/>
      <c r="F30" s="60"/>
    </row>
    <row r="31" spans="1:9" x14ac:dyDescent="0.3">
      <c r="A31" s="60"/>
      <c r="B31" s="60"/>
      <c r="C31" s="60"/>
      <c r="D31" s="60"/>
      <c r="E31" s="60"/>
      <c r="F31" s="60"/>
    </row>
    <row r="32" spans="1:9" x14ac:dyDescent="0.3">
      <c r="A32" s="60"/>
      <c r="B32" s="60"/>
      <c r="C32" s="60"/>
      <c r="D32" s="60"/>
      <c r="E32" s="60"/>
      <c r="F32" s="60"/>
    </row>
    <row r="33" spans="1:9" x14ac:dyDescent="0.3">
      <c r="A33" s="60"/>
      <c r="B33" s="60"/>
      <c r="C33" s="60"/>
      <c r="D33" s="60"/>
      <c r="E33" s="60"/>
      <c r="F33" s="60"/>
    </row>
    <row r="34" spans="1:9" x14ac:dyDescent="0.3">
      <c r="A34" s="60"/>
      <c r="B34" s="60"/>
      <c r="C34" s="60"/>
      <c r="D34" s="60"/>
      <c r="E34" s="60"/>
      <c r="F34" s="60"/>
    </row>
    <row r="35" spans="1:9" x14ac:dyDescent="0.3">
      <c r="A35" s="60"/>
      <c r="B35" s="60"/>
      <c r="C35" s="60"/>
      <c r="D35" s="60"/>
      <c r="E35" s="60"/>
      <c r="F35" s="60"/>
    </row>
    <row r="36" spans="1:9" x14ac:dyDescent="0.3">
      <c r="A36" s="60"/>
      <c r="B36" s="60"/>
      <c r="C36" s="60"/>
      <c r="D36" s="60"/>
      <c r="E36" s="60"/>
      <c r="F36" s="60"/>
    </row>
    <row r="37" spans="1:9" x14ac:dyDescent="0.3">
      <c r="A37" s="60"/>
      <c r="B37" s="60"/>
      <c r="C37" s="60"/>
      <c r="D37" s="60"/>
      <c r="E37" s="60"/>
      <c r="F37" s="60"/>
    </row>
    <row r="38" spans="1:9" x14ac:dyDescent="0.3">
      <c r="A38" s="60"/>
      <c r="B38" s="60"/>
      <c r="C38" s="60"/>
      <c r="D38" s="60"/>
      <c r="E38" s="60"/>
      <c r="F38" s="60"/>
    </row>
    <row r="39" spans="1:9" x14ac:dyDescent="0.3">
      <c r="A39" s="60"/>
      <c r="B39" s="60"/>
      <c r="C39" s="60"/>
      <c r="D39" s="60"/>
      <c r="E39" s="60"/>
      <c r="F39" s="60"/>
    </row>
    <row r="40" spans="1:9" x14ac:dyDescent="0.3">
      <c r="A40" s="60"/>
      <c r="B40" s="60"/>
      <c r="C40" s="60"/>
      <c r="D40" s="60"/>
      <c r="E40" s="60"/>
      <c r="F40" s="60"/>
    </row>
    <row r="41" spans="1:9" x14ac:dyDescent="0.3">
      <c r="A41" s="60"/>
      <c r="B41" s="60"/>
      <c r="C41" s="60"/>
      <c r="D41" s="60"/>
      <c r="E41" s="60"/>
      <c r="F41" s="60"/>
    </row>
    <row r="42" spans="1:9" x14ac:dyDescent="0.3">
      <c r="A42" s="60"/>
      <c r="B42" s="60"/>
      <c r="C42" s="60"/>
      <c r="D42" s="60"/>
      <c r="E42" s="60"/>
      <c r="F42" s="60"/>
    </row>
    <row r="43" spans="1:9" x14ac:dyDescent="0.3">
      <c r="A43" s="60"/>
      <c r="B43" s="60"/>
      <c r="C43" s="60"/>
      <c r="D43" s="60"/>
      <c r="E43" s="60"/>
      <c r="F43" s="60"/>
    </row>
    <row r="44" spans="1:9" x14ac:dyDescent="0.3">
      <c r="A44" s="60"/>
      <c r="B44" s="60"/>
      <c r="C44" s="60"/>
      <c r="D44" s="60"/>
      <c r="E44" s="60"/>
      <c r="F44" s="60"/>
    </row>
    <row r="45" spans="1:9" x14ac:dyDescent="0.3">
      <c r="A45" s="60"/>
      <c r="B45" s="60"/>
      <c r="C45" s="60"/>
      <c r="D45" s="60"/>
      <c r="E45" s="60"/>
      <c r="F45" s="60"/>
    </row>
    <row r="46" spans="1:9" x14ac:dyDescent="0.3">
      <c r="A46" s="60"/>
      <c r="B46" s="60"/>
      <c r="C46" s="60"/>
      <c r="D46" s="60"/>
      <c r="E46" s="60"/>
      <c r="F46" s="60"/>
      <c r="G46" s="60"/>
    </row>
    <row r="47" spans="1:9" ht="18.5" x14ac:dyDescent="0.45">
      <c r="A47" s="479"/>
      <c r="B47" s="479"/>
      <c r="C47" s="479"/>
      <c r="D47" s="479"/>
      <c r="E47" s="479"/>
      <c r="F47" s="479"/>
      <c r="G47" s="479"/>
      <c r="H47" s="479"/>
      <c r="I47" s="479"/>
    </row>
    <row r="48" spans="1:9" x14ac:dyDescent="0.3">
      <c r="A48" s="470"/>
      <c r="B48" s="470"/>
      <c r="C48" s="470"/>
      <c r="D48" s="470"/>
      <c r="E48" s="470"/>
      <c r="F48" s="470"/>
      <c r="G48" s="470"/>
      <c r="H48" s="470"/>
      <c r="I48" s="470"/>
    </row>
    <row r="49" spans="1:9" x14ac:dyDescent="0.3">
      <c r="A49" s="470"/>
      <c r="B49" s="470"/>
      <c r="C49" s="470"/>
      <c r="D49" s="470"/>
      <c r="E49" s="470"/>
      <c r="F49" s="470"/>
      <c r="G49" s="470"/>
      <c r="H49" s="470"/>
      <c r="I49" s="470"/>
    </row>
    <row r="50" spans="1:9" x14ac:dyDescent="0.3">
      <c r="A50" s="482"/>
      <c r="B50" s="482"/>
      <c r="C50" s="482"/>
      <c r="D50" s="482"/>
      <c r="E50" s="482"/>
      <c r="F50" s="482"/>
      <c r="G50" s="482"/>
      <c r="H50" s="482"/>
      <c r="I50" s="482"/>
    </row>
    <row r="51" spans="1:9" x14ac:dyDescent="0.3">
      <c r="B51" s="60"/>
      <c r="C51" s="60"/>
      <c r="D51" s="60"/>
      <c r="E51" s="60"/>
      <c r="F51" s="60"/>
      <c r="G51" s="60"/>
    </row>
    <row r="52" spans="1:9" x14ac:dyDescent="0.3">
      <c r="A52" s="60"/>
      <c r="B52" s="60"/>
      <c r="C52" s="60"/>
      <c r="D52" s="60"/>
      <c r="E52" s="60"/>
      <c r="F52" s="60"/>
      <c r="G52" s="60"/>
    </row>
    <row r="53" spans="1:9" x14ac:dyDescent="0.3">
      <c r="A53" s="60"/>
      <c r="B53" s="60"/>
      <c r="C53" s="60"/>
      <c r="D53" s="60"/>
      <c r="E53" s="60"/>
      <c r="F53" s="60"/>
    </row>
    <row r="54" spans="1:9" x14ac:dyDescent="0.3">
      <c r="A54" s="60"/>
      <c r="B54" s="60"/>
      <c r="C54" s="60"/>
      <c r="D54" s="60"/>
      <c r="E54" s="60"/>
      <c r="F54" s="60"/>
    </row>
    <row r="55" spans="1:9" x14ac:dyDescent="0.3">
      <c r="A55" s="60"/>
      <c r="B55" s="60"/>
      <c r="C55" s="60"/>
      <c r="D55" s="60"/>
      <c r="E55" s="60"/>
      <c r="F55" s="60"/>
    </row>
    <row r="56" spans="1:9" x14ac:dyDescent="0.3">
      <c r="A56" s="60"/>
      <c r="B56" s="60"/>
      <c r="C56" s="60"/>
      <c r="D56" s="60"/>
      <c r="E56" s="60"/>
      <c r="F56" s="60"/>
    </row>
    <row r="57" spans="1:9" x14ac:dyDescent="0.3">
      <c r="A57" s="60"/>
      <c r="B57" s="60"/>
      <c r="C57" s="60"/>
      <c r="D57" s="60"/>
      <c r="E57" s="60"/>
      <c r="F57" s="60"/>
    </row>
    <row r="58" spans="1:9" x14ac:dyDescent="0.3">
      <c r="A58" s="60"/>
      <c r="B58" s="60"/>
      <c r="C58" s="60"/>
      <c r="D58" s="60"/>
      <c r="E58" s="60"/>
      <c r="F58" s="60"/>
    </row>
    <row r="59" spans="1:9" x14ac:dyDescent="0.3">
      <c r="A59" s="60"/>
      <c r="B59" s="60"/>
      <c r="C59" s="60"/>
      <c r="D59" s="60"/>
      <c r="E59" s="60"/>
      <c r="F59" s="60"/>
    </row>
    <row r="60" spans="1:9" x14ac:dyDescent="0.3">
      <c r="A60" s="60"/>
      <c r="B60" s="60"/>
      <c r="C60" s="60"/>
      <c r="D60" s="60"/>
      <c r="E60" s="60"/>
      <c r="F60" s="60"/>
    </row>
    <row r="61" spans="1:9" x14ac:dyDescent="0.3">
      <c r="A61" s="60"/>
      <c r="B61" s="60"/>
      <c r="C61" s="60"/>
      <c r="D61" s="60"/>
      <c r="E61" s="60"/>
      <c r="F61" s="60"/>
    </row>
    <row r="62" spans="1:9" x14ac:dyDescent="0.3">
      <c r="A62" s="60"/>
      <c r="B62" s="60"/>
      <c r="C62" s="60"/>
      <c r="D62" s="60"/>
      <c r="E62" s="60"/>
      <c r="F62" s="60"/>
    </row>
    <row r="63" spans="1:9" x14ac:dyDescent="0.3">
      <c r="A63" s="60"/>
      <c r="B63" s="60"/>
      <c r="C63" s="60"/>
      <c r="D63" s="60"/>
      <c r="E63" s="60"/>
      <c r="F63" s="60"/>
    </row>
    <row r="64" spans="1:9" x14ac:dyDescent="0.3">
      <c r="A64" s="60"/>
      <c r="B64" s="60"/>
      <c r="C64" s="60"/>
      <c r="D64" s="60"/>
      <c r="E64" s="60"/>
      <c r="F64" s="60"/>
    </row>
    <row r="65" spans="1:7" x14ac:dyDescent="0.3">
      <c r="A65" s="60"/>
      <c r="B65" s="60"/>
      <c r="C65" s="60"/>
      <c r="D65" s="60"/>
      <c r="E65" s="60"/>
      <c r="F65" s="60"/>
    </row>
    <row r="66" spans="1:7" x14ac:dyDescent="0.3">
      <c r="A66" s="60"/>
      <c r="B66" s="60"/>
      <c r="C66" s="60"/>
      <c r="D66" s="60"/>
      <c r="E66" s="60"/>
      <c r="F66" s="60"/>
    </row>
    <row r="67" spans="1:7" x14ac:dyDescent="0.3">
      <c r="A67" s="60"/>
      <c r="B67" s="60"/>
      <c r="C67" s="60"/>
      <c r="D67" s="60"/>
      <c r="E67" s="60"/>
      <c r="F67" s="60"/>
    </row>
    <row r="68" spans="1:7" x14ac:dyDescent="0.3">
      <c r="A68" s="60"/>
      <c r="B68" s="60"/>
      <c r="C68" s="60"/>
      <c r="D68" s="60"/>
      <c r="E68" s="60"/>
      <c r="F68" s="60"/>
    </row>
    <row r="69" spans="1:7" x14ac:dyDescent="0.3">
      <c r="A69" s="60"/>
      <c r="B69" s="60"/>
      <c r="C69" s="60"/>
      <c r="D69" s="60"/>
      <c r="E69" s="60"/>
      <c r="F69" s="60"/>
    </row>
    <row r="70" spans="1:7" x14ac:dyDescent="0.3">
      <c r="A70" s="60"/>
      <c r="B70" s="60"/>
      <c r="C70" s="60"/>
      <c r="D70" s="60"/>
      <c r="E70" s="60"/>
      <c r="F70" s="60"/>
    </row>
    <row r="71" spans="1:7" x14ac:dyDescent="0.3">
      <c r="A71" s="60"/>
      <c r="B71" s="60"/>
      <c r="C71" s="60"/>
      <c r="D71" s="60"/>
      <c r="E71" s="60"/>
      <c r="F71" s="60"/>
    </row>
    <row r="72" spans="1:7" x14ac:dyDescent="0.3">
      <c r="A72" s="60"/>
      <c r="B72" s="60"/>
      <c r="C72" s="60"/>
      <c r="D72" s="60"/>
      <c r="E72" s="60"/>
      <c r="F72" s="60"/>
    </row>
    <row r="73" spans="1:7" x14ac:dyDescent="0.3">
      <c r="A73" s="60"/>
      <c r="B73" s="60"/>
      <c r="C73" s="60"/>
      <c r="D73" s="60"/>
      <c r="E73" s="60"/>
      <c r="F73" s="60"/>
      <c r="G73" s="60"/>
    </row>
    <row r="74" spans="1:7" x14ac:dyDescent="0.3">
      <c r="F74" s="60"/>
      <c r="G74" s="60"/>
    </row>
    <row r="75" spans="1:7" x14ac:dyDescent="0.3">
      <c r="F75" s="60"/>
    </row>
    <row r="76" spans="1:7" x14ac:dyDescent="0.3">
      <c r="F76" s="60"/>
    </row>
    <row r="77" spans="1:7" x14ac:dyDescent="0.3">
      <c r="F77" s="60"/>
    </row>
  </sheetData>
  <sheetProtection algorithmName="SHA-512" hashValue="GdeOM1y9wQaHYNpADC0EdjxQugNQU6ldX9IOIDUoDAcUubpW1aiueE+qBGUbqHMNJabItVHoYKGRrfaGLRUhpQ==" saltValue="xgpxbdil+YrLVVs9IecUCA==" spinCount="100000" sheet="1" objects="1" scenarios="1" selectLockedCells="1" selectUnlockedCells="1"/>
  <mergeCells count="7">
    <mergeCell ref="A48:I48"/>
    <mergeCell ref="A49:I49"/>
    <mergeCell ref="A50:I50"/>
    <mergeCell ref="A1:I1"/>
    <mergeCell ref="A2:I2"/>
    <mergeCell ref="A3:I3"/>
    <mergeCell ref="A47:I47"/>
  </mergeCells>
  <phoneticPr fontId="3" type="noConversion"/>
  <printOptions horizontalCentered="1" verticalCentered="1"/>
  <pageMargins left="0.75" right="0.75" top="1" bottom="1" header="0.5" footer="0.5"/>
  <pageSetup orientation="landscape" r:id="rId1"/>
  <headerFooter alignWithMargins="0"/>
  <rowBreaks count="1" manualBreakCount="1">
    <brk id="4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tabColor rgb="FF00FF00"/>
  </sheetPr>
  <dimension ref="A1:J35"/>
  <sheetViews>
    <sheetView zoomScaleNormal="100" workbookViewId="0">
      <selection activeCell="E26" sqref="E26"/>
    </sheetView>
  </sheetViews>
  <sheetFormatPr defaultColWidth="9.1796875" defaultRowHeight="12.5" x14ac:dyDescent="0.25"/>
  <cols>
    <col min="1" max="4" width="9.1796875" style="1"/>
    <col min="5" max="5" width="14.453125" style="1" customWidth="1"/>
    <col min="6" max="7" width="14.26953125" style="1" customWidth="1"/>
    <col min="8" max="8" width="9.1796875" style="1"/>
    <col min="9" max="9" width="12.81640625" style="1" bestFit="1" customWidth="1"/>
    <col min="10" max="16384" width="9.1796875" style="1"/>
  </cols>
  <sheetData>
    <row r="1" spans="1:10" ht="18.5" x14ac:dyDescent="0.45">
      <c r="A1" s="479" t="s">
        <v>201</v>
      </c>
      <c r="B1" s="479"/>
      <c r="C1" s="479"/>
      <c r="D1" s="479"/>
      <c r="E1" s="479"/>
      <c r="F1" s="479"/>
      <c r="G1" s="479"/>
      <c r="H1" s="513"/>
      <c r="I1" s="513"/>
      <c r="J1" s="513"/>
    </row>
    <row r="2" spans="1:10" ht="14.5" x14ac:dyDescent="0.35">
      <c r="A2" s="477" t="s">
        <v>398</v>
      </c>
      <c r="B2" s="477"/>
      <c r="C2" s="477"/>
      <c r="D2" s="477"/>
      <c r="E2" s="477"/>
      <c r="F2" s="477"/>
      <c r="G2" s="477"/>
      <c r="H2" s="512"/>
      <c r="I2" s="512"/>
      <c r="J2" s="512"/>
    </row>
    <row r="3" spans="1:10" ht="15" thickBot="1" x14ac:dyDescent="0.4">
      <c r="A3" s="477" t="s">
        <v>399</v>
      </c>
      <c r="B3" s="477"/>
      <c r="C3" s="477"/>
      <c r="D3" s="477"/>
      <c r="E3" s="477"/>
      <c r="F3" s="477"/>
      <c r="G3" s="477"/>
      <c r="H3" s="512"/>
      <c r="I3" s="512"/>
      <c r="J3" s="512"/>
    </row>
    <row r="4" spans="1:10" ht="15" thickBot="1" x14ac:dyDescent="0.4">
      <c r="A4" s="61"/>
      <c r="B4" s="62"/>
      <c r="C4" s="62"/>
      <c r="D4" s="62"/>
      <c r="E4" s="129" t="s">
        <v>33</v>
      </c>
      <c r="F4" s="258" t="s">
        <v>190</v>
      </c>
      <c r="G4" s="259" t="s">
        <v>34</v>
      </c>
      <c r="I4" s="2"/>
      <c r="J4" s="2"/>
    </row>
    <row r="5" spans="1:10" ht="14.5" x14ac:dyDescent="0.35">
      <c r="A5" s="234" t="str">
        <f>"A.   "&amp;year-1&amp;" Rates"</f>
        <v>A.   2020 Rates</v>
      </c>
      <c r="B5" s="65"/>
      <c r="C5" s="65"/>
      <c r="D5" s="65"/>
      <c r="E5" s="235">
        <f>'Rate Proposal - Example'!C37</f>
        <v>150</v>
      </c>
      <c r="F5" s="236">
        <f>'Rate Proposal - Example'!C38</f>
        <v>300</v>
      </c>
      <c r="G5" s="237">
        <f>'Rate Proposal - Example'!C39</f>
        <v>320</v>
      </c>
      <c r="I5" s="2"/>
      <c r="J5" s="2"/>
    </row>
    <row r="6" spans="1:10" ht="14.5" x14ac:dyDescent="0.35">
      <c r="A6" s="64"/>
      <c r="B6" s="65"/>
      <c r="C6" s="65"/>
      <c r="D6" s="65"/>
      <c r="E6" s="133"/>
      <c r="F6" s="133"/>
      <c r="G6" s="134"/>
      <c r="I6" s="2"/>
      <c r="J6" s="2"/>
    </row>
    <row r="7" spans="1:10" ht="14.5" x14ac:dyDescent="0.35">
      <c r="A7" s="234" t="str">
        <f>"B.   "&amp;year&amp;" Rates"</f>
        <v>B.   2021 Rates</v>
      </c>
      <c r="B7" s="65"/>
      <c r="C7" s="65"/>
      <c r="D7" s="65"/>
      <c r="E7" s="133"/>
      <c r="F7" s="133"/>
      <c r="G7" s="134"/>
      <c r="I7" s="2"/>
      <c r="J7" s="2"/>
    </row>
    <row r="8" spans="1:10" ht="14.5" x14ac:dyDescent="0.35">
      <c r="A8" s="64"/>
      <c r="B8" s="65"/>
      <c r="C8" s="65"/>
      <c r="D8" s="65"/>
      <c r="E8" s="133"/>
      <c r="F8" s="133"/>
      <c r="G8" s="134"/>
      <c r="I8" s="2"/>
      <c r="J8" s="2"/>
    </row>
    <row r="9" spans="1:10" ht="14.5" x14ac:dyDescent="0.35">
      <c r="A9" s="64" t="str">
        <f>"    1.  Experience Change"</f>
        <v xml:space="preserve">    1.  Experience Change</v>
      </c>
      <c r="B9" s="65"/>
      <c r="C9" s="65"/>
      <c r="D9" s="65"/>
      <c r="E9" s="131">
        <f>E15-E5-E11-E13</f>
        <v>9.4252873563218316</v>
      </c>
      <c r="F9" s="131">
        <f>F15-F5-F11-F13</f>
        <v>18.850574712643663</v>
      </c>
      <c r="G9" s="132">
        <f>G15-G5-G11-G13</f>
        <v>18.773946360153218</v>
      </c>
      <c r="I9" s="2"/>
      <c r="J9" s="2"/>
    </row>
    <row r="10" spans="1:10" ht="14.5" x14ac:dyDescent="0.35">
      <c r="A10" s="64"/>
      <c r="B10" s="65"/>
      <c r="C10" s="65"/>
      <c r="D10" s="65"/>
      <c r="E10" s="133"/>
      <c r="F10" s="133"/>
      <c r="G10" s="134"/>
      <c r="I10" s="2"/>
      <c r="J10" s="2"/>
    </row>
    <row r="11" spans="1:10" ht="14.5" x14ac:dyDescent="0.35">
      <c r="A11" s="64" t="str">
        <f>"    2.  Benefit Change"</f>
        <v xml:space="preserve">    2.  Benefit Change</v>
      </c>
      <c r="B11" s="65"/>
      <c r="C11" s="65"/>
      <c r="D11" s="65"/>
      <c r="E11" s="131">
        <f>IF('Rate Proposal - Example'!$D$119=0,E5*'Rate Proposal - Example'!$D$120-'Table2 - Example'!E5,'Table2 - Example'!E5*'Rate Proposal - Example'!$D$119-'Table2 - Example'!E5)</f>
        <v>0.57471264367816843</v>
      </c>
      <c r="F11" s="131">
        <f>IF('Rate Proposal - Example'!$D$119=0,F5*'Rate Proposal - Example'!$D$120-'Table2 - Example'!F5,'Table2 - Example'!F5*'Rate Proposal - Example'!$D$119-'Table2 - Example'!F5)</f>
        <v>1.1494252873563369</v>
      </c>
      <c r="G11" s="132">
        <f>IF('Rate Proposal - Example'!$D$119=0,G5*'Rate Proposal - Example'!$D$120-'Table2 - Example'!G5,'Table2 - Example'!G5*'Rate Proposal - Example'!$D$119-'Table2 - Example'!G5)</f>
        <v>1.2260536398467821</v>
      </c>
      <c r="J11" s="2"/>
    </row>
    <row r="12" spans="1:10" ht="14.5" x14ac:dyDescent="0.35">
      <c r="A12" s="64"/>
      <c r="B12" s="65"/>
      <c r="C12" s="65"/>
      <c r="D12" s="65"/>
      <c r="E12" s="131"/>
      <c r="F12" s="131"/>
      <c r="G12" s="132"/>
      <c r="J12" s="2"/>
    </row>
    <row r="13" spans="1:10" ht="14.5" x14ac:dyDescent="0.35">
      <c r="A13" s="64" t="str">
        <f>"    3.  Other Changes"</f>
        <v xml:space="preserve">    3.  Other Changes</v>
      </c>
      <c r="B13" s="65"/>
      <c r="C13" s="65"/>
      <c r="D13" s="65"/>
      <c r="E13" s="131">
        <f>-E5*(1-'Rate Proposal - Example'!$D$148)</f>
        <v>0</v>
      </c>
      <c r="F13" s="256">
        <f>-F5*(1-'Rate Proposal - Example'!$D$148)</f>
        <v>0</v>
      </c>
      <c r="G13" s="257">
        <f>-G5*(1-'Rate Proposal - Example'!$D$148)</f>
        <v>0</v>
      </c>
      <c r="I13" s="2"/>
      <c r="J13" s="2"/>
    </row>
    <row r="14" spans="1:10" ht="14.5" x14ac:dyDescent="0.35">
      <c r="A14" s="64"/>
      <c r="B14" s="65"/>
      <c r="C14" s="65"/>
      <c r="D14" s="65"/>
      <c r="E14" s="133"/>
      <c r="F14" s="133"/>
      <c r="G14" s="134"/>
      <c r="I14" s="2"/>
      <c r="J14" s="2"/>
    </row>
    <row r="15" spans="1:10" ht="14.5" x14ac:dyDescent="0.35">
      <c r="A15" s="64" t="str">
        <f>"    4.  Total ( " &amp; year &amp; " Rates)"</f>
        <v xml:space="preserve">    4.  Total ( 2021 Rates)</v>
      </c>
      <c r="B15" s="65"/>
      <c r="C15" s="65"/>
      <c r="D15" s="65"/>
      <c r="E15" s="235">
        <f>'Rate Proposal - Example'!C42</f>
        <v>160</v>
      </c>
      <c r="F15" s="235">
        <f>'Rate Proposal - Example'!C43</f>
        <v>320</v>
      </c>
      <c r="G15" s="237">
        <f>'Rate Proposal - Example'!C44</f>
        <v>340</v>
      </c>
      <c r="I15" s="2"/>
      <c r="J15" s="2"/>
    </row>
    <row r="16" spans="1:10" ht="14.5" x14ac:dyDescent="0.35">
      <c r="A16" s="64"/>
      <c r="B16" s="65"/>
      <c r="C16" s="65"/>
      <c r="D16" s="65"/>
      <c r="E16" s="133"/>
      <c r="F16" s="133"/>
      <c r="G16" s="134"/>
      <c r="I16" s="2"/>
      <c r="J16" s="2"/>
    </row>
    <row r="17" spans="1:10" ht="14.5" x14ac:dyDescent="0.35">
      <c r="A17" s="234" t="str">
        <f>"C.   Percent Change from "&amp;year-1&amp;" to "&amp; year</f>
        <v>C.   Percent Change from 2020 to 2021</v>
      </c>
      <c r="B17" s="65"/>
      <c r="C17" s="65"/>
      <c r="D17" s="65"/>
      <c r="E17" s="133"/>
      <c r="F17" s="133"/>
      <c r="G17" s="134"/>
      <c r="I17" s="2"/>
      <c r="J17" s="2"/>
    </row>
    <row r="18" spans="1:10" ht="14.5" x14ac:dyDescent="0.35">
      <c r="A18" s="64"/>
      <c r="B18" s="65"/>
      <c r="C18" s="65"/>
      <c r="D18" s="65"/>
      <c r="E18" s="133"/>
      <c r="F18" s="133"/>
      <c r="G18" s="134"/>
      <c r="I18" s="2"/>
      <c r="J18" s="2"/>
    </row>
    <row r="19" spans="1:10" ht="14.5" x14ac:dyDescent="0.35">
      <c r="A19" s="64" t="str">
        <f>"    1.  Experience Change"</f>
        <v xml:space="preserve">    1.  Experience Change</v>
      </c>
      <c r="B19" s="65"/>
      <c r="C19" s="65"/>
      <c r="D19" s="65"/>
      <c r="E19" s="135">
        <f>E9/$E$5</f>
        <v>6.2835249042145547E-2</v>
      </c>
      <c r="F19" s="135">
        <f>F9/$F$5</f>
        <v>6.2835249042145547E-2</v>
      </c>
      <c r="G19" s="136">
        <f>G9/$G$5</f>
        <v>5.8668582375478805E-2</v>
      </c>
      <c r="I19" s="2"/>
      <c r="J19" s="2"/>
    </row>
    <row r="20" spans="1:10" ht="14.5" x14ac:dyDescent="0.35">
      <c r="A20" s="64"/>
      <c r="B20" s="65"/>
      <c r="C20" s="65"/>
      <c r="D20" s="65"/>
      <c r="E20" s="135"/>
      <c r="F20" s="135"/>
      <c r="G20" s="136"/>
      <c r="I20" s="2"/>
      <c r="J20" s="2"/>
    </row>
    <row r="21" spans="1:10" ht="14.5" x14ac:dyDescent="0.35">
      <c r="A21" s="64" t="str">
        <f>"    2.  Benefit Change"</f>
        <v xml:space="preserve">    2.  Benefit Change</v>
      </c>
      <c r="B21" s="65"/>
      <c r="C21" s="65"/>
      <c r="D21" s="65"/>
      <c r="E21" s="135">
        <f>E11/$E$5</f>
        <v>3.8314176245211229E-3</v>
      </c>
      <c r="F21" s="135">
        <f>F11/$F$5</f>
        <v>3.8314176245211229E-3</v>
      </c>
      <c r="G21" s="136">
        <f>G11/$G$5</f>
        <v>3.831417624521194E-3</v>
      </c>
      <c r="I21" s="2"/>
      <c r="J21" s="2"/>
    </row>
    <row r="22" spans="1:10" ht="14.5" x14ac:dyDescent="0.35">
      <c r="A22" s="64"/>
      <c r="B22" s="65"/>
      <c r="C22" s="65"/>
      <c r="D22" s="65"/>
      <c r="E22" s="135"/>
      <c r="F22" s="135"/>
      <c r="G22" s="136"/>
      <c r="I22" s="2"/>
      <c r="J22" s="2"/>
    </row>
    <row r="23" spans="1:10" ht="14.5" x14ac:dyDescent="0.35">
      <c r="A23" s="64" t="str">
        <f>"    3.  Other Changes"</f>
        <v xml:space="preserve">    3.  Other Changes</v>
      </c>
      <c r="B23" s="65"/>
      <c r="C23" s="65"/>
      <c r="D23" s="65"/>
      <c r="E23" s="135">
        <f>E13/$E$5</f>
        <v>0</v>
      </c>
      <c r="F23" s="135">
        <f>F13/$F$5</f>
        <v>0</v>
      </c>
      <c r="G23" s="136">
        <f>G13/$G$5</f>
        <v>0</v>
      </c>
      <c r="I23" s="2"/>
      <c r="J23" s="2"/>
    </row>
    <row r="24" spans="1:10" ht="14.5" x14ac:dyDescent="0.35">
      <c r="A24" s="64"/>
      <c r="B24" s="65"/>
      <c r="C24" s="65"/>
      <c r="D24" s="65"/>
      <c r="E24" s="135"/>
      <c r="F24" s="135"/>
      <c r="G24" s="136"/>
      <c r="I24" s="2"/>
      <c r="J24" s="2"/>
    </row>
    <row r="25" spans="1:10" ht="15" thickBot="1" x14ac:dyDescent="0.4">
      <c r="A25" s="70" t="str">
        <f>"    4.  Total Changes"</f>
        <v xml:space="preserve">    4.  Total Changes</v>
      </c>
      <c r="B25" s="71"/>
      <c r="C25" s="71"/>
      <c r="D25" s="71"/>
      <c r="E25" s="238">
        <f>E15/$E$5-1</f>
        <v>6.6666666666666652E-2</v>
      </c>
      <c r="F25" s="238">
        <f>F15/$F$5-1</f>
        <v>6.6666666666666652E-2</v>
      </c>
      <c r="G25" s="239">
        <f>G15/$G$5-1</f>
        <v>6.25E-2</v>
      </c>
      <c r="I25" s="2"/>
      <c r="J25" s="2"/>
    </row>
    <row r="26" spans="1:10" ht="13" thickBot="1" x14ac:dyDescent="0.3">
      <c r="I26" s="3"/>
      <c r="J26" s="3"/>
    </row>
    <row r="27" spans="1:10" ht="15" thickBot="1" x14ac:dyDescent="0.4">
      <c r="A27" s="364" t="s">
        <v>202</v>
      </c>
      <c r="B27" s="280"/>
      <c r="C27" s="280"/>
      <c r="D27" s="280"/>
      <c r="E27" s="280"/>
      <c r="F27" s="280"/>
      <c r="G27" s="365">
        <f>year</f>
        <v>2021</v>
      </c>
    </row>
    <row r="28" spans="1:10" ht="14.5" x14ac:dyDescent="0.35">
      <c r="A28" s="252" t="str">
        <f>"Incurred Claims"</f>
        <v>Incurred Claims</v>
      </c>
      <c r="B28" s="280"/>
      <c r="C28" s="280"/>
      <c r="D28" s="280"/>
      <c r="E28" s="280"/>
      <c r="F28" s="280"/>
      <c r="G28" s="281">
        <f>'Rate Proposal - Example'!G158</f>
        <v>600152976.08012497</v>
      </c>
    </row>
    <row r="29" spans="1:10" ht="14.5" x14ac:dyDescent="0.35">
      <c r="A29" s="64" t="str">
        <f>"Incurred Expenses"</f>
        <v>Incurred Expenses</v>
      </c>
      <c r="B29" s="3"/>
      <c r="C29" s="3"/>
      <c r="D29" s="3"/>
      <c r="E29" s="3"/>
      <c r="F29" s="3"/>
      <c r="G29" s="282">
        <f>'Rate Proposal - Example'!C187+'Rate Proposal - Example'!E180</f>
        <v>53878849.929873772</v>
      </c>
    </row>
    <row r="30" spans="1:10" ht="14.5" x14ac:dyDescent="0.35">
      <c r="A30" s="64" t="str">
        <f>"Estimated Service Charge"</f>
        <v>Estimated Service Charge</v>
      </c>
      <c r="B30" s="3"/>
      <c r="C30" s="3"/>
      <c r="D30" s="3"/>
      <c r="E30" s="3"/>
      <c r="F30" s="3"/>
      <c r="G30" s="282">
        <f>'Rate Proposal - Example'!F189</f>
        <v>3000000</v>
      </c>
    </row>
    <row r="31" spans="1:10" ht="15" thickBot="1" x14ac:dyDescent="0.4">
      <c r="A31" s="70" t="str">
        <f>"Estimated Cost of Facility Capital"</f>
        <v>Estimated Cost of Facility Capital</v>
      </c>
      <c r="B31" s="283"/>
      <c r="C31" s="283"/>
      <c r="D31" s="283"/>
      <c r="E31" s="283"/>
      <c r="F31" s="283"/>
      <c r="G31" s="284">
        <f>'Rate Proposal - Example'!F190</f>
        <v>500000</v>
      </c>
    </row>
    <row r="32" spans="1:10" ht="15" thickBot="1" x14ac:dyDescent="0.4">
      <c r="A32" s="65"/>
      <c r="B32" s="3"/>
      <c r="C32" s="3"/>
      <c r="D32" s="3"/>
      <c r="E32" s="3"/>
      <c r="F32" s="3"/>
      <c r="G32" s="118"/>
      <c r="H32" s="3"/>
    </row>
    <row r="33" spans="1:7" ht="15" thickBot="1" x14ac:dyDescent="0.4">
      <c r="A33" s="285" t="s">
        <v>357</v>
      </c>
      <c r="B33" s="286"/>
      <c r="C33" s="286"/>
      <c r="D33" s="286"/>
      <c r="E33" s="286"/>
      <c r="F33" s="286"/>
      <c r="G33" s="259">
        <f>year</f>
        <v>2021</v>
      </c>
    </row>
    <row r="34" spans="1:7" ht="14.5" x14ac:dyDescent="0.35">
      <c r="A34" s="64" t="s">
        <v>358</v>
      </c>
      <c r="B34" s="3"/>
      <c r="C34" s="3"/>
      <c r="D34" s="3"/>
      <c r="E34" s="3"/>
      <c r="F34" s="3"/>
      <c r="G34" s="282">
        <f>'Table1 - Example'!I7/12</f>
        <v>54210000</v>
      </c>
    </row>
    <row r="35" spans="1:7" ht="15" thickBot="1" x14ac:dyDescent="0.4">
      <c r="A35" s="70" t="s">
        <v>359</v>
      </c>
      <c r="B35" s="283"/>
      <c r="C35" s="283"/>
      <c r="D35" s="283"/>
      <c r="E35" s="283"/>
      <c r="F35" s="283"/>
      <c r="G35" s="284">
        <f>'Table1 - Example'!I14/12</f>
        <v>54502652.1674999</v>
      </c>
    </row>
  </sheetData>
  <sheetProtection algorithmName="SHA-512" hashValue="8aZTwqNuvGelhOgp19aw9LqrmQ5VIMHwfJjQvxopXyByHFBY0XCC0CtwpB4NPmQH8GR2TBRBgFIyhZpCZgRWvg==" saltValue="BOI4oc3ibfPhLY654oPmGw==" spinCount="100000" sheet="1" objects="1" scenarios="1" selectLockedCells="1" selectUnlockedCells="1"/>
  <mergeCells count="6">
    <mergeCell ref="A3:G3"/>
    <mergeCell ref="H3:J3"/>
    <mergeCell ref="A1:G1"/>
    <mergeCell ref="H1:J1"/>
    <mergeCell ref="A2:G2"/>
    <mergeCell ref="H2:J2"/>
  </mergeCells>
  <phoneticPr fontId="3" type="noConversion"/>
  <printOptions horizontalCentered="1"/>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dimension ref="A1:S200"/>
  <sheetViews>
    <sheetView zoomScaleNormal="100" workbookViewId="0">
      <selection activeCell="B73" sqref="B73:I74"/>
    </sheetView>
  </sheetViews>
  <sheetFormatPr defaultColWidth="9.1796875" defaultRowHeight="14.5" x14ac:dyDescent="0.35"/>
  <cols>
    <col min="1" max="1" width="3.54296875" style="338" bestFit="1" customWidth="1"/>
    <col min="2" max="2" width="17.1796875" style="310" customWidth="1"/>
    <col min="3" max="9" width="15.7265625" style="310" customWidth="1"/>
    <col min="10" max="11" width="9.1796875" style="310"/>
    <col min="12" max="19" width="9.1796875" style="310" hidden="1" customWidth="1"/>
    <col min="20" max="16384" width="9.1796875" style="310"/>
  </cols>
  <sheetData>
    <row r="1" spans="1:19" ht="23.5" x14ac:dyDescent="0.55000000000000004">
      <c r="B1" s="430" t="s">
        <v>352</v>
      </c>
      <c r="C1" s="430"/>
      <c r="D1" s="430"/>
      <c r="E1" s="430"/>
      <c r="F1" s="430"/>
      <c r="G1" s="430"/>
      <c r="H1" s="430"/>
      <c r="I1" s="430"/>
      <c r="J1" s="314"/>
      <c r="K1" s="314"/>
      <c r="L1" s="211" t="s">
        <v>369</v>
      </c>
      <c r="M1" s="211">
        <v>327.45999999999998</v>
      </c>
      <c r="O1" s="317" t="s">
        <v>383</v>
      </c>
      <c r="P1" s="319" t="s">
        <v>322</v>
      </c>
      <c r="Q1" s="319">
        <f>year</f>
        <v>2021</v>
      </c>
      <c r="R1" s="319" t="s">
        <v>325</v>
      </c>
      <c r="S1" s="319" t="s">
        <v>334</v>
      </c>
    </row>
    <row r="2" spans="1:19" ht="15" customHeight="1" x14ac:dyDescent="0.35">
      <c r="E2" s="312" t="s">
        <v>170</v>
      </c>
      <c r="F2" s="313">
        <v>2021</v>
      </c>
      <c r="L2" s="211" t="s">
        <v>370</v>
      </c>
      <c r="M2" s="211">
        <v>700.17</v>
      </c>
      <c r="O2" s="317" t="s">
        <v>384</v>
      </c>
      <c r="P2" s="319" t="s">
        <v>323</v>
      </c>
      <c r="Q2" s="319">
        <f>year-1</f>
        <v>2020</v>
      </c>
      <c r="R2" s="319" t="s">
        <v>365</v>
      </c>
      <c r="S2" s="319" t="s">
        <v>333</v>
      </c>
    </row>
    <row r="3" spans="1:19" ht="15" customHeight="1" x14ac:dyDescent="0.35">
      <c r="E3" s="312"/>
      <c r="F3" s="313"/>
      <c r="G3" s="319" t="s">
        <v>360</v>
      </c>
      <c r="J3" s="210"/>
      <c r="L3" s="211" t="s">
        <v>371</v>
      </c>
      <c r="M3" s="211">
        <v>758.98</v>
      </c>
      <c r="O3" s="317"/>
      <c r="Q3" s="319">
        <f>year-2</f>
        <v>2019</v>
      </c>
    </row>
    <row r="4" spans="1:19" ht="15" customHeight="1" x14ac:dyDescent="0.35">
      <c r="A4" s="431" t="str">
        <f>"Complete Questions "&amp;A7&amp;"-"&amp;A17&amp;", basic information about your plan. If your plan has more than one option, please fill out separate workbooks for each plan option."</f>
        <v>Complete Questions 1-6, basic information about your plan. If your plan has more than one option, please fill out separate workbooks for each plan option.</v>
      </c>
      <c r="B4" s="431"/>
      <c r="C4" s="431"/>
      <c r="D4" s="431"/>
      <c r="E4" s="431"/>
      <c r="F4" s="431"/>
      <c r="G4" s="431"/>
      <c r="H4" s="431"/>
      <c r="I4" s="431"/>
      <c r="J4" s="210"/>
      <c r="M4" s="211"/>
      <c r="O4" s="317"/>
      <c r="Q4" s="319">
        <f>year-3</f>
        <v>2018</v>
      </c>
    </row>
    <row r="5" spans="1:19" ht="15" customHeight="1" x14ac:dyDescent="0.35">
      <c r="A5" s="431"/>
      <c r="B5" s="431"/>
      <c r="C5" s="431"/>
      <c r="D5" s="431"/>
      <c r="E5" s="431"/>
      <c r="F5" s="431"/>
      <c r="G5" s="431"/>
      <c r="H5" s="431"/>
      <c r="I5" s="431"/>
      <c r="J5" s="210"/>
      <c r="L5" s="211" t="s">
        <v>313</v>
      </c>
      <c r="M5" s="211" t="s">
        <v>314</v>
      </c>
      <c r="O5" s="317"/>
      <c r="Q5" s="319" t="str">
        <f>"Prior to "&amp;year-3</f>
        <v>Prior to 2018</v>
      </c>
    </row>
    <row r="6" spans="1:19" ht="15" customHeight="1" thickBot="1" x14ac:dyDescent="0.4">
      <c r="A6" s="339"/>
      <c r="B6" s="210"/>
      <c r="C6" s="210"/>
      <c r="D6" s="210"/>
      <c r="E6" s="210"/>
      <c r="F6" s="210"/>
      <c r="G6" s="210"/>
      <c r="H6" s="210"/>
      <c r="I6" s="210"/>
      <c r="J6" s="210"/>
      <c r="L6" s="295">
        <v>5.0000000000000001E-4</v>
      </c>
      <c r="M6" s="295">
        <v>5.0000000000000001E-4</v>
      </c>
      <c r="O6" s="317"/>
    </row>
    <row r="7" spans="1:19" ht="15" customHeight="1" thickBot="1" x14ac:dyDescent="0.4">
      <c r="A7" s="341">
        <v>1</v>
      </c>
      <c r="B7" s="321" t="s">
        <v>380</v>
      </c>
      <c r="C7" s="318"/>
      <c r="D7" s="422"/>
      <c r="E7" s="423"/>
      <c r="F7" s="423"/>
      <c r="G7" s="423"/>
      <c r="H7" s="423"/>
      <c r="I7" s="424"/>
      <c r="J7" s="210"/>
      <c r="L7" s="211" t="s">
        <v>315</v>
      </c>
      <c r="M7" s="211" t="s">
        <v>316</v>
      </c>
    </row>
    <row r="8" spans="1:19" ht="15" customHeight="1" thickBot="1" x14ac:dyDescent="0.4">
      <c r="A8" s="342"/>
      <c r="B8" s="321"/>
      <c r="C8" s="311"/>
      <c r="D8" s="202"/>
      <c r="E8" s="202"/>
      <c r="F8" s="202"/>
      <c r="G8" s="202"/>
      <c r="H8" s="202"/>
      <c r="I8" s="202"/>
      <c r="J8" s="210"/>
      <c r="L8" s="295">
        <v>1.6E-2</v>
      </c>
      <c r="M8" s="295">
        <v>1.6E-2</v>
      </c>
    </row>
    <row r="9" spans="1:19" ht="15" customHeight="1" thickBot="1" x14ac:dyDescent="0.4">
      <c r="A9" s="341">
        <f>A7+1</f>
        <v>2</v>
      </c>
      <c r="B9" s="321" t="s">
        <v>381</v>
      </c>
      <c r="C9" s="318"/>
      <c r="D9" s="422"/>
      <c r="E9" s="423"/>
      <c r="F9" s="423"/>
      <c r="G9" s="423"/>
      <c r="H9" s="423"/>
      <c r="I9" s="424"/>
      <c r="J9" s="210"/>
      <c r="L9" s="295"/>
      <c r="M9" s="295"/>
    </row>
    <row r="10" spans="1:19" ht="15" customHeight="1" thickBot="1" x14ac:dyDescent="0.4">
      <c r="A10" s="342"/>
      <c r="B10" s="321"/>
      <c r="C10" s="202"/>
      <c r="D10" s="202"/>
      <c r="E10" s="202"/>
      <c r="F10" s="202"/>
      <c r="G10" s="202"/>
      <c r="H10" s="202"/>
      <c r="I10" s="202"/>
      <c r="J10" s="210"/>
      <c r="L10" s="310" t="s">
        <v>395</v>
      </c>
    </row>
    <row r="11" spans="1:19" ht="15" customHeight="1" thickBot="1" x14ac:dyDescent="0.4">
      <c r="A11" s="341">
        <f>A9+1</f>
        <v>3</v>
      </c>
      <c r="B11" s="321" t="s">
        <v>382</v>
      </c>
      <c r="C11" s="318"/>
      <c r="D11" s="315"/>
      <c r="E11" s="320"/>
      <c r="F11" s="311" t="s">
        <v>338</v>
      </c>
      <c r="G11" s="315" t="s">
        <v>394</v>
      </c>
      <c r="H11" s="311" t="s">
        <v>324</v>
      </c>
      <c r="I11" s="315" t="s">
        <v>323</v>
      </c>
      <c r="J11" s="210"/>
      <c r="L11" s="211">
        <v>1E-3</v>
      </c>
      <c r="M11" s="211"/>
    </row>
    <row r="12" spans="1:19" s="345" customFormat="1" ht="15" customHeight="1" thickBot="1" x14ac:dyDescent="0.4">
      <c r="A12" s="374"/>
      <c r="B12" s="375"/>
      <c r="D12" s="231"/>
      <c r="E12" s="369"/>
      <c r="F12" s="231"/>
      <c r="G12" s="322"/>
      <c r="H12" s="376"/>
      <c r="I12" s="369"/>
      <c r="J12" s="210"/>
      <c r="L12" s="323"/>
      <c r="M12" s="323"/>
      <c r="N12" s="310"/>
      <c r="O12" s="377"/>
      <c r="P12" s="377"/>
      <c r="Q12" s="377"/>
    </row>
    <row r="13" spans="1:19" ht="15" customHeight="1" thickBot="1" x14ac:dyDescent="0.4">
      <c r="A13" s="341">
        <f>A11+1</f>
        <v>4</v>
      </c>
      <c r="B13" s="321" t="s">
        <v>397</v>
      </c>
      <c r="C13" s="318"/>
      <c r="D13" s="422"/>
      <c r="E13" s="423"/>
      <c r="F13" s="423"/>
      <c r="G13" s="423"/>
      <c r="H13" s="423"/>
      <c r="I13" s="424"/>
      <c r="J13" s="210"/>
      <c r="L13" s="211"/>
      <c r="M13" s="211"/>
      <c r="N13" s="377"/>
      <c r="O13" s="319"/>
      <c r="P13" s="319"/>
      <c r="Q13" s="319"/>
    </row>
    <row r="14" spans="1:19" ht="15" customHeight="1" thickBot="1" x14ac:dyDescent="0.4">
      <c r="A14" s="342"/>
      <c r="B14" s="321"/>
      <c r="C14" s="311"/>
      <c r="D14" s="202"/>
      <c r="E14" s="202"/>
      <c r="F14" s="202"/>
      <c r="G14" s="202"/>
      <c r="H14" s="202"/>
      <c r="I14" s="202"/>
      <c r="J14" s="210"/>
      <c r="L14" s="211"/>
      <c r="M14" s="211"/>
      <c r="N14" s="319"/>
      <c r="O14" s="319"/>
      <c r="P14" s="319"/>
      <c r="Q14" s="319"/>
    </row>
    <row r="15" spans="1:19" ht="15" customHeight="1" thickBot="1" x14ac:dyDescent="0.4">
      <c r="A15" s="341">
        <f>A13+1</f>
        <v>5</v>
      </c>
      <c r="B15" s="321" t="s">
        <v>4</v>
      </c>
      <c r="C15" s="318"/>
      <c r="D15" s="422"/>
      <c r="E15" s="423"/>
      <c r="F15" s="423"/>
      <c r="G15" s="423"/>
      <c r="H15" s="423"/>
      <c r="I15" s="424"/>
      <c r="J15" s="210"/>
      <c r="L15" s="211"/>
      <c r="M15" s="211"/>
      <c r="N15" s="319"/>
      <c r="O15" s="319"/>
      <c r="P15" s="319"/>
      <c r="Q15" s="319"/>
    </row>
    <row r="16" spans="1:19" ht="15" customHeight="1" thickBot="1" x14ac:dyDescent="0.4">
      <c r="A16" s="342"/>
      <c r="B16" s="321"/>
      <c r="C16" s="311"/>
      <c r="D16" s="202"/>
      <c r="E16" s="202"/>
      <c r="F16" s="202"/>
      <c r="G16" s="202"/>
      <c r="H16" s="202"/>
      <c r="I16" s="202"/>
      <c r="J16" s="210"/>
      <c r="L16" s="407"/>
      <c r="M16" s="407"/>
      <c r="N16" s="407"/>
      <c r="O16" s="319"/>
      <c r="P16" s="319"/>
      <c r="Q16" s="319"/>
    </row>
    <row r="17" spans="1:17" ht="15" customHeight="1" thickBot="1" x14ac:dyDescent="0.4">
      <c r="A17" s="341">
        <f>A15+1</f>
        <v>6</v>
      </c>
      <c r="B17" s="321" t="s">
        <v>321</v>
      </c>
      <c r="C17" s="318"/>
      <c r="D17" s="426"/>
      <c r="E17" s="427"/>
      <c r="F17" s="427"/>
      <c r="G17" s="427"/>
      <c r="H17" s="427"/>
      <c r="I17" s="428"/>
      <c r="J17" s="210"/>
      <c r="L17" s="211"/>
      <c r="M17" s="211"/>
      <c r="N17" s="319"/>
      <c r="O17" s="319"/>
      <c r="P17" s="319"/>
      <c r="Q17" s="319"/>
    </row>
    <row r="18" spans="1:17" ht="15" customHeight="1" x14ac:dyDescent="0.35">
      <c r="A18" s="342"/>
      <c r="B18" s="320"/>
      <c r="C18" s="318"/>
      <c r="J18" s="210"/>
      <c r="L18" s="211"/>
      <c r="M18" s="211"/>
      <c r="N18" s="319"/>
      <c r="O18" s="319"/>
      <c r="P18" s="319"/>
      <c r="Q18" s="319"/>
    </row>
    <row r="19" spans="1:17" ht="15" customHeight="1" x14ac:dyDescent="0.35">
      <c r="B19" s="320"/>
      <c r="C19" s="318"/>
      <c r="J19" s="210"/>
      <c r="L19" s="211"/>
      <c r="M19" s="211"/>
      <c r="N19" s="319"/>
      <c r="O19" s="319"/>
      <c r="P19" s="319"/>
      <c r="Q19" s="319"/>
    </row>
    <row r="20" spans="1:17" ht="15" customHeight="1" x14ac:dyDescent="0.35">
      <c r="A20" s="425" t="str">
        <f>"Please complete the 'Rate Proposal - "&amp;IF(LEFT(FYear,1)="P",5,year-FYear+1)&amp;" year' sheet by filling in all shaded boxes. "&amp;IF(OR(PlanType="FFS", FYear=year), "", "Please also complete January through April of Table 3.")</f>
        <v>Please complete the 'Rate Proposal - 5 year' sheet by filling in all shaded boxes. Please also complete January through April of Table 3.</v>
      </c>
      <c r="B20" s="425"/>
      <c r="C20" s="425"/>
      <c r="D20" s="425"/>
      <c r="E20" s="425"/>
      <c r="F20" s="425"/>
      <c r="G20" s="425"/>
      <c r="H20" s="425"/>
      <c r="I20" s="425"/>
      <c r="J20" s="210"/>
      <c r="L20" s="211"/>
      <c r="M20" s="211"/>
      <c r="N20" s="319"/>
      <c r="O20" s="319"/>
      <c r="P20" s="319"/>
      <c r="Q20" s="319"/>
    </row>
    <row r="21" spans="1:17" ht="15" customHeight="1" x14ac:dyDescent="0.35">
      <c r="A21" s="425"/>
      <c r="B21" s="425"/>
      <c r="C21" s="425"/>
      <c r="D21" s="425"/>
      <c r="E21" s="425"/>
      <c r="F21" s="425"/>
      <c r="G21" s="425"/>
      <c r="H21" s="425"/>
      <c r="I21" s="425"/>
      <c r="J21" s="210"/>
      <c r="L21" s="211"/>
      <c r="M21" s="211"/>
      <c r="N21" s="319"/>
      <c r="O21" s="319"/>
      <c r="P21" s="319"/>
      <c r="Q21" s="319"/>
    </row>
    <row r="22" spans="1:17" ht="15" customHeight="1" x14ac:dyDescent="0.35">
      <c r="A22" s="425"/>
      <c r="B22" s="425"/>
      <c r="C22" s="425"/>
      <c r="D22" s="425"/>
      <c r="E22" s="425"/>
      <c r="F22" s="425"/>
      <c r="G22" s="425"/>
      <c r="H22" s="425"/>
      <c r="I22" s="425"/>
      <c r="J22" s="210"/>
      <c r="L22" s="211"/>
      <c r="M22" s="211"/>
      <c r="N22" s="319"/>
      <c r="O22" s="319"/>
      <c r="P22" s="319"/>
      <c r="Q22" s="319"/>
    </row>
    <row r="23" spans="1:17" ht="15" customHeight="1" x14ac:dyDescent="0.35">
      <c r="A23" s="343"/>
      <c r="B23" s="344"/>
      <c r="C23" s="231"/>
      <c r="D23" s="345"/>
      <c r="E23" s="345"/>
      <c r="F23" s="345"/>
      <c r="G23" s="345"/>
      <c r="H23" s="345"/>
      <c r="I23" s="345"/>
      <c r="L23" s="211"/>
      <c r="M23" s="211"/>
      <c r="N23" s="319"/>
    </row>
    <row r="24" spans="1:17" ht="15" customHeight="1" x14ac:dyDescent="0.35">
      <c r="A24" s="429" t="str">
        <f>"Once you have completed the 'Rate Proposal - "&amp;IF(LEFT(FYear,1)="P",5,year-FYear+1)&amp;" year' sheet, please complete Questions "&amp;A27&amp;"-"&amp;A113&amp;". Please answer every question. If a question does not apply to your plan, please explain why. If you need more space for any of your responses, feel free to upload additional documentation with this proposal."</f>
        <v>Once you have completed the 'Rate Proposal - 5 year' sheet, please complete Questions 7-19. Please answer every question. If a question does not apply to your plan, please explain why. If you need more space for any of your responses, feel free to upload additional documentation with this proposal.</v>
      </c>
      <c r="B24" s="429"/>
      <c r="C24" s="429"/>
      <c r="D24" s="429"/>
      <c r="E24" s="429"/>
      <c r="F24" s="429"/>
      <c r="G24" s="429"/>
      <c r="H24" s="429"/>
      <c r="I24" s="429"/>
      <c r="L24" s="211"/>
      <c r="M24" s="304"/>
    </row>
    <row r="25" spans="1:17" ht="15" customHeight="1" x14ac:dyDescent="0.35">
      <c r="A25" s="429"/>
      <c r="B25" s="429"/>
      <c r="C25" s="429"/>
      <c r="D25" s="429"/>
      <c r="E25" s="429"/>
      <c r="F25" s="429"/>
      <c r="G25" s="429"/>
      <c r="H25" s="429"/>
      <c r="I25" s="429"/>
      <c r="L25" s="211"/>
      <c r="M25" s="304"/>
    </row>
    <row r="26" spans="1:17" ht="15" customHeight="1" x14ac:dyDescent="0.35">
      <c r="A26" s="429"/>
      <c r="B26" s="429"/>
      <c r="C26" s="429"/>
      <c r="D26" s="429"/>
      <c r="E26" s="429"/>
      <c r="F26" s="429"/>
      <c r="G26" s="429"/>
      <c r="H26" s="429"/>
      <c r="I26" s="429"/>
      <c r="L26" s="211"/>
      <c r="M26" s="304"/>
    </row>
    <row r="27" spans="1:17" ht="15" customHeight="1" x14ac:dyDescent="0.35">
      <c r="A27" s="346">
        <f>A17+1</f>
        <v>7</v>
      </c>
      <c r="B27" s="417" t="str">
        <f>"Describe any amounts, such as Rx rebates, reinsurance recoveries, capitation payments, that are included in the claims in Question 4 of the 'Rate Proposal - "&amp;IF(LEFT(FYear,1)="P",5,year-FYear+1)&amp;" year'. If any amounts, such as these, have not been included in the claims, please explain why."</f>
        <v>Describe any amounts, such as Rx rebates, reinsurance recoveries, capitation payments, that are included in the claims in Question 4 of the 'Rate Proposal - 5 year'. If any amounts, such as these, have not been included in the claims, please explain why.</v>
      </c>
      <c r="C27" s="417"/>
      <c r="D27" s="417"/>
      <c r="E27" s="417"/>
      <c r="F27" s="417"/>
      <c r="G27" s="417"/>
      <c r="H27" s="417"/>
      <c r="I27" s="417"/>
      <c r="L27" s="211"/>
      <c r="M27" s="304"/>
    </row>
    <row r="28" spans="1:17" ht="15" customHeight="1" thickBot="1" x14ac:dyDescent="0.4">
      <c r="A28" s="346"/>
      <c r="B28" s="418"/>
      <c r="C28" s="418"/>
      <c r="D28" s="418"/>
      <c r="E28" s="418"/>
      <c r="F28" s="418"/>
      <c r="G28" s="418"/>
      <c r="H28" s="418"/>
      <c r="I28" s="418"/>
      <c r="M28" s="304"/>
    </row>
    <row r="29" spans="1:17" ht="15" customHeight="1" x14ac:dyDescent="0.35">
      <c r="A29" s="347"/>
      <c r="B29" s="411"/>
      <c r="C29" s="412"/>
      <c r="D29" s="412"/>
      <c r="E29" s="412"/>
      <c r="F29" s="412"/>
      <c r="G29" s="412"/>
      <c r="H29" s="412"/>
      <c r="I29" s="413"/>
      <c r="M29" s="304"/>
    </row>
    <row r="30" spans="1:17" ht="15" customHeight="1" x14ac:dyDescent="0.35">
      <c r="A30" s="347"/>
      <c r="B30" s="419"/>
      <c r="C30" s="420"/>
      <c r="D30" s="420"/>
      <c r="E30" s="420"/>
      <c r="F30" s="420"/>
      <c r="G30" s="420"/>
      <c r="H30" s="420"/>
      <c r="I30" s="421"/>
      <c r="M30" s="304"/>
    </row>
    <row r="31" spans="1:17" ht="15" customHeight="1" x14ac:dyDescent="0.35">
      <c r="A31" s="347"/>
      <c r="B31" s="419"/>
      <c r="C31" s="420"/>
      <c r="D31" s="420"/>
      <c r="E31" s="420"/>
      <c r="F31" s="420"/>
      <c r="G31" s="420"/>
      <c r="H31" s="420"/>
      <c r="I31" s="421"/>
      <c r="M31" s="304"/>
    </row>
    <row r="32" spans="1:17" ht="15" customHeight="1" thickBot="1" x14ac:dyDescent="0.4">
      <c r="A32" s="347"/>
      <c r="B32" s="414"/>
      <c r="C32" s="415"/>
      <c r="D32" s="415"/>
      <c r="E32" s="415"/>
      <c r="F32" s="415"/>
      <c r="G32" s="415"/>
      <c r="H32" s="415"/>
      <c r="I32" s="416"/>
      <c r="M32" s="304"/>
    </row>
    <row r="33" spans="1:13" ht="15" customHeight="1" x14ac:dyDescent="0.35">
      <c r="A33" s="347"/>
      <c r="B33" s="345"/>
      <c r="C33" s="345"/>
      <c r="D33" s="345"/>
      <c r="E33" s="345"/>
      <c r="F33" s="345"/>
      <c r="G33" s="345"/>
      <c r="H33" s="345"/>
      <c r="I33" s="345"/>
      <c r="M33" s="304"/>
    </row>
    <row r="34" spans="1:13" ht="15" customHeight="1" x14ac:dyDescent="0.35">
      <c r="A34" s="346">
        <f>A27+1</f>
        <v>8</v>
      </c>
      <c r="B34" s="417" t="str">
        <f>"If your plan includes an HSA or HRA, describe how the claims in Question 4 of the 'Rate Proposal - "&amp;IF(LEFT(FYear,1)="P",5,year-FYear+1)&amp;" year' have or have not been adjusted for these amounts."</f>
        <v>If your plan includes an HSA or HRA, describe how the claims in Question 4 of the 'Rate Proposal - 5 year' have or have not been adjusted for these amounts.</v>
      </c>
      <c r="C34" s="417"/>
      <c r="D34" s="417"/>
      <c r="E34" s="417"/>
      <c r="F34" s="417"/>
      <c r="G34" s="417"/>
      <c r="H34" s="417"/>
      <c r="I34" s="417"/>
      <c r="M34" s="304"/>
    </row>
    <row r="35" spans="1:13" ht="15" customHeight="1" thickBot="1" x14ac:dyDescent="0.4">
      <c r="A35" s="346"/>
      <c r="B35" s="418"/>
      <c r="C35" s="418"/>
      <c r="D35" s="418"/>
      <c r="E35" s="418"/>
      <c r="F35" s="418"/>
      <c r="G35" s="418"/>
      <c r="H35" s="418"/>
      <c r="I35" s="418"/>
      <c r="M35" s="304"/>
    </row>
    <row r="36" spans="1:13" ht="15" customHeight="1" x14ac:dyDescent="0.35">
      <c r="A36" s="347"/>
      <c r="B36" s="411"/>
      <c r="C36" s="412"/>
      <c r="D36" s="412"/>
      <c r="E36" s="412"/>
      <c r="F36" s="412"/>
      <c r="G36" s="412"/>
      <c r="H36" s="412"/>
      <c r="I36" s="413"/>
      <c r="M36" s="304"/>
    </row>
    <row r="37" spans="1:13" ht="15" customHeight="1" x14ac:dyDescent="0.35">
      <c r="A37" s="347"/>
      <c r="B37" s="419"/>
      <c r="C37" s="420"/>
      <c r="D37" s="420"/>
      <c r="E37" s="420"/>
      <c r="F37" s="420"/>
      <c r="G37" s="420"/>
      <c r="H37" s="420"/>
      <c r="I37" s="421"/>
      <c r="M37" s="304"/>
    </row>
    <row r="38" spans="1:13" ht="15" customHeight="1" thickBot="1" x14ac:dyDescent="0.4">
      <c r="A38" s="347"/>
      <c r="B38" s="414"/>
      <c r="C38" s="415"/>
      <c r="D38" s="415"/>
      <c r="E38" s="415"/>
      <c r="F38" s="415"/>
      <c r="G38" s="415"/>
      <c r="H38" s="415"/>
      <c r="I38" s="416"/>
      <c r="M38" s="304"/>
    </row>
    <row r="39" spans="1:13" ht="15" customHeight="1" x14ac:dyDescent="0.35">
      <c r="A39" s="347"/>
      <c r="B39" s="345"/>
      <c r="C39" s="345"/>
      <c r="D39" s="345"/>
      <c r="E39" s="345"/>
      <c r="F39" s="345"/>
      <c r="G39" s="345"/>
      <c r="H39" s="345"/>
      <c r="I39" s="345"/>
      <c r="M39" s="304"/>
    </row>
    <row r="40" spans="1:13" ht="15" customHeight="1" thickBot="1" x14ac:dyDescent="0.4">
      <c r="A40" s="346">
        <f>A34+1</f>
        <v>9</v>
      </c>
      <c r="B40" s="210" t="str">
        <f>"Does your enrollment factor in Question 5 of the 'Rate Proposal - "&amp;IF(LEFT(FYear,1)="P",5,year-FYear+1)&amp;" year' include an adjustment factor? If yes, please explain below."</f>
        <v>Does your enrollment factor in Question 5 of the 'Rate Proposal - 5 year' include an adjustment factor? If yes, please explain below.</v>
      </c>
      <c r="C40" s="345"/>
      <c r="D40" s="304"/>
      <c r="E40" s="345"/>
      <c r="F40" s="345"/>
      <c r="G40" s="345"/>
      <c r="H40" s="345"/>
      <c r="I40" s="345"/>
      <c r="M40" s="304"/>
    </row>
    <row r="41" spans="1:13" ht="15" customHeight="1" x14ac:dyDescent="0.35">
      <c r="A41" s="347"/>
      <c r="B41" s="411"/>
      <c r="C41" s="412"/>
      <c r="D41" s="412"/>
      <c r="E41" s="412"/>
      <c r="F41" s="412"/>
      <c r="G41" s="412"/>
      <c r="H41" s="412"/>
      <c r="I41" s="413"/>
      <c r="M41" s="304"/>
    </row>
    <row r="42" spans="1:13" ht="15" customHeight="1" thickBot="1" x14ac:dyDescent="0.4">
      <c r="A42" s="347"/>
      <c r="B42" s="414"/>
      <c r="C42" s="415"/>
      <c r="D42" s="415"/>
      <c r="E42" s="415"/>
      <c r="F42" s="415"/>
      <c r="G42" s="415"/>
      <c r="H42" s="415"/>
      <c r="I42" s="416"/>
      <c r="M42" s="304"/>
    </row>
    <row r="43" spans="1:13" ht="15" customHeight="1" x14ac:dyDescent="0.35">
      <c r="A43" s="347"/>
      <c r="B43" s="348"/>
      <c r="C43" s="348"/>
      <c r="D43" s="348"/>
      <c r="E43" s="348"/>
      <c r="F43" s="348"/>
      <c r="G43" s="348"/>
      <c r="H43" s="348"/>
      <c r="I43" s="348"/>
      <c r="M43" s="304"/>
    </row>
    <row r="44" spans="1:13" ht="15" customHeight="1" x14ac:dyDescent="0.35">
      <c r="A44" s="346">
        <f>A40+1</f>
        <v>10</v>
      </c>
      <c r="B44" s="417" t="str">
        <f>"Please describe the "&amp;year-1&amp;" to "&amp;year&amp;" benefit changes and their impact on the rates. If the "&amp;year-3&amp;" to "&amp;year-2&amp;" benefit change factor or "&amp;year-2&amp;" to "&amp;year-1&amp;" benefit change factor has changed from last year's rate proposal, please explain why."</f>
        <v>Please describe the 2020 to 2021 benefit changes and their impact on the rates. If the 2018 to 2019 benefit change factor or 2019 to 2020 benefit change factor has changed from last year's rate proposal, please explain why.</v>
      </c>
      <c r="C44" s="417"/>
      <c r="D44" s="417"/>
      <c r="E44" s="417"/>
      <c r="F44" s="417"/>
      <c r="G44" s="417"/>
      <c r="H44" s="417"/>
      <c r="I44" s="417"/>
      <c r="M44" s="304"/>
    </row>
    <row r="45" spans="1:13" ht="15" customHeight="1" thickBot="1" x14ac:dyDescent="0.4">
      <c r="A45" s="346"/>
      <c r="B45" s="418"/>
      <c r="C45" s="418"/>
      <c r="D45" s="418"/>
      <c r="E45" s="418"/>
      <c r="F45" s="418"/>
      <c r="G45" s="418"/>
      <c r="H45" s="418"/>
      <c r="I45" s="418"/>
      <c r="M45" s="304"/>
    </row>
    <row r="46" spans="1:13" ht="15" customHeight="1" x14ac:dyDescent="0.35">
      <c r="A46" s="347"/>
      <c r="B46" s="411"/>
      <c r="C46" s="412"/>
      <c r="D46" s="412"/>
      <c r="E46" s="412"/>
      <c r="F46" s="412"/>
      <c r="G46" s="412"/>
      <c r="H46" s="412"/>
      <c r="I46" s="413"/>
      <c r="M46" s="304"/>
    </row>
    <row r="47" spans="1:13" ht="15" customHeight="1" x14ac:dyDescent="0.35">
      <c r="A47" s="347"/>
      <c r="B47" s="419"/>
      <c r="C47" s="420"/>
      <c r="D47" s="420"/>
      <c r="E47" s="420"/>
      <c r="F47" s="420"/>
      <c r="G47" s="420"/>
      <c r="H47" s="420"/>
      <c r="I47" s="421"/>
      <c r="M47" s="304"/>
    </row>
    <row r="48" spans="1:13" ht="15" customHeight="1" x14ac:dyDescent="0.35">
      <c r="A48" s="347"/>
      <c r="B48" s="419"/>
      <c r="C48" s="420"/>
      <c r="D48" s="420"/>
      <c r="E48" s="420"/>
      <c r="F48" s="420"/>
      <c r="G48" s="420"/>
      <c r="H48" s="420"/>
      <c r="I48" s="421"/>
      <c r="M48" s="304"/>
    </row>
    <row r="49" spans="1:13" ht="15" customHeight="1" thickBot="1" x14ac:dyDescent="0.4">
      <c r="A49" s="347"/>
      <c r="B49" s="414"/>
      <c r="C49" s="415"/>
      <c r="D49" s="415"/>
      <c r="E49" s="415"/>
      <c r="F49" s="415"/>
      <c r="G49" s="415"/>
      <c r="H49" s="415"/>
      <c r="I49" s="416"/>
      <c r="M49" s="304"/>
    </row>
    <row r="50" spans="1:13" ht="15" customHeight="1" x14ac:dyDescent="0.35">
      <c r="A50" s="347"/>
      <c r="B50" s="348"/>
      <c r="C50" s="348"/>
      <c r="D50" s="348"/>
      <c r="E50" s="348"/>
      <c r="F50" s="348"/>
      <c r="G50" s="348"/>
      <c r="H50" s="348"/>
      <c r="I50" s="348"/>
      <c r="M50" s="304"/>
    </row>
    <row r="51" spans="1:13" ht="15" customHeight="1" x14ac:dyDescent="0.35">
      <c r="A51" s="346">
        <f>A44+1</f>
        <v>11</v>
      </c>
      <c r="B51" s="210" t="s">
        <v>355</v>
      </c>
      <c r="C51" s="348"/>
      <c r="D51" s="348"/>
      <c r="E51" s="348"/>
      <c r="F51" s="348"/>
      <c r="G51" s="348"/>
      <c r="H51" s="348"/>
      <c r="I51" s="348"/>
      <c r="M51" s="304"/>
    </row>
    <row r="52" spans="1:13" ht="15" customHeight="1" thickBot="1" x14ac:dyDescent="0.4">
      <c r="A52" s="346"/>
      <c r="B52" s="337" t="str">
        <f>year-3&amp;" to "&amp;year-2&amp;":"</f>
        <v>2018 to 2019:</v>
      </c>
      <c r="C52" s="348"/>
      <c r="D52" s="348"/>
      <c r="E52" s="348"/>
      <c r="F52" s="348"/>
      <c r="G52" s="348"/>
      <c r="H52" s="348"/>
      <c r="I52" s="348"/>
      <c r="M52" s="304"/>
    </row>
    <row r="53" spans="1:13" ht="15" customHeight="1" x14ac:dyDescent="0.35">
      <c r="A53" s="347"/>
      <c r="B53" s="411"/>
      <c r="C53" s="412"/>
      <c r="D53" s="412"/>
      <c r="E53" s="412"/>
      <c r="F53" s="412"/>
      <c r="G53" s="412"/>
      <c r="H53" s="412"/>
      <c r="I53" s="413"/>
      <c r="M53" s="304"/>
    </row>
    <row r="54" spans="1:13" ht="15" customHeight="1" thickBot="1" x14ac:dyDescent="0.4">
      <c r="A54" s="347"/>
      <c r="B54" s="414"/>
      <c r="C54" s="415"/>
      <c r="D54" s="415"/>
      <c r="E54" s="415"/>
      <c r="F54" s="415"/>
      <c r="G54" s="415"/>
      <c r="H54" s="415"/>
      <c r="I54" s="416"/>
      <c r="M54" s="304"/>
    </row>
    <row r="55" spans="1:13" ht="15" customHeight="1" thickBot="1" x14ac:dyDescent="0.4">
      <c r="A55" s="347"/>
      <c r="B55" s="337" t="str">
        <f>year-2&amp;" to "&amp;year-1&amp;":"</f>
        <v>2019 to 2020:</v>
      </c>
      <c r="C55" s="348"/>
      <c r="D55" s="348"/>
      <c r="E55" s="348"/>
      <c r="F55" s="348"/>
      <c r="G55" s="348"/>
      <c r="H55" s="348"/>
      <c r="I55" s="348"/>
      <c r="M55" s="304"/>
    </row>
    <row r="56" spans="1:13" ht="15" customHeight="1" x14ac:dyDescent="0.35">
      <c r="A56" s="347"/>
      <c r="B56" s="411"/>
      <c r="C56" s="412"/>
      <c r="D56" s="412"/>
      <c r="E56" s="412"/>
      <c r="F56" s="412"/>
      <c r="G56" s="412"/>
      <c r="H56" s="412"/>
      <c r="I56" s="413"/>
      <c r="M56" s="304"/>
    </row>
    <row r="57" spans="1:13" ht="15" customHeight="1" thickBot="1" x14ac:dyDescent="0.4">
      <c r="A57" s="347"/>
      <c r="B57" s="414"/>
      <c r="C57" s="415"/>
      <c r="D57" s="415"/>
      <c r="E57" s="415"/>
      <c r="F57" s="415"/>
      <c r="G57" s="415"/>
      <c r="H57" s="415"/>
      <c r="I57" s="416"/>
      <c r="M57" s="304"/>
    </row>
    <row r="58" spans="1:13" ht="15" customHeight="1" x14ac:dyDescent="0.35">
      <c r="A58" s="347"/>
      <c r="B58" s="348"/>
      <c r="C58" s="348"/>
      <c r="D58" s="348"/>
      <c r="E58" s="348"/>
      <c r="F58" s="348"/>
      <c r="G58" s="348"/>
      <c r="H58" s="348"/>
      <c r="I58" s="348"/>
      <c r="M58" s="304"/>
    </row>
    <row r="59" spans="1:13" ht="15" customHeight="1" x14ac:dyDescent="0.35">
      <c r="A59" s="346">
        <f>A51+1</f>
        <v>12</v>
      </c>
      <c r="B59" s="210" t="str">
        <f>"Did you experience any selection in "&amp;year-2&amp;"? Do you expect to experience any selection in "&amp;year-1&amp;" and "&amp;year&amp;"? If yes, please explain below. "</f>
        <v xml:space="preserve">Did you experience any selection in 2019? Do you expect to experience any selection in 2020 and 2021? If yes, please explain below. </v>
      </c>
      <c r="C59" s="348"/>
      <c r="D59" s="348"/>
      <c r="E59" s="348"/>
      <c r="F59" s="348"/>
      <c r="G59" s="348"/>
      <c r="H59" s="348"/>
      <c r="I59" s="348"/>
      <c r="M59" s="304"/>
    </row>
    <row r="60" spans="1:13" ht="15" customHeight="1" thickBot="1" x14ac:dyDescent="0.4">
      <c r="A60" s="346"/>
      <c r="B60" s="337" t="str">
        <f>year-3&amp;" to "&amp;year-2&amp;":"</f>
        <v>2018 to 2019:</v>
      </c>
      <c r="C60" s="348"/>
      <c r="D60" s="348"/>
      <c r="E60" s="348"/>
      <c r="F60" s="348"/>
      <c r="G60" s="348"/>
      <c r="H60" s="348"/>
      <c r="I60" s="348"/>
      <c r="M60" s="304"/>
    </row>
    <row r="61" spans="1:13" ht="15" customHeight="1" x14ac:dyDescent="0.35">
      <c r="A61" s="346"/>
      <c r="B61" s="411"/>
      <c r="C61" s="412"/>
      <c r="D61" s="412"/>
      <c r="E61" s="412"/>
      <c r="F61" s="412"/>
      <c r="G61" s="412"/>
      <c r="H61" s="412"/>
      <c r="I61" s="413"/>
      <c r="M61" s="304"/>
    </row>
    <row r="62" spans="1:13" ht="15" customHeight="1" thickBot="1" x14ac:dyDescent="0.4">
      <c r="A62" s="346"/>
      <c r="B62" s="414"/>
      <c r="C62" s="415"/>
      <c r="D62" s="415"/>
      <c r="E62" s="415"/>
      <c r="F62" s="415"/>
      <c r="G62" s="415"/>
      <c r="H62" s="415"/>
      <c r="I62" s="416"/>
      <c r="M62" s="304"/>
    </row>
    <row r="63" spans="1:13" ht="15" customHeight="1" thickBot="1" x14ac:dyDescent="0.4">
      <c r="A63" s="346"/>
      <c r="B63" s="337" t="str">
        <f>year-2&amp;" to "&amp;year-1&amp;":"</f>
        <v>2019 to 2020:</v>
      </c>
      <c r="C63" s="348"/>
      <c r="D63" s="348"/>
      <c r="E63" s="348"/>
      <c r="F63" s="348"/>
      <c r="G63" s="348"/>
      <c r="H63" s="348"/>
      <c r="I63" s="348"/>
      <c r="M63" s="304"/>
    </row>
    <row r="64" spans="1:13" ht="15" customHeight="1" x14ac:dyDescent="0.35">
      <c r="A64" s="347"/>
      <c r="B64" s="411"/>
      <c r="C64" s="412"/>
      <c r="D64" s="412"/>
      <c r="E64" s="412"/>
      <c r="F64" s="412"/>
      <c r="G64" s="412"/>
      <c r="H64" s="412"/>
      <c r="I64" s="413"/>
      <c r="M64" s="304"/>
    </row>
    <row r="65" spans="1:13" ht="15" customHeight="1" thickBot="1" x14ac:dyDescent="0.4">
      <c r="A65" s="347"/>
      <c r="B65" s="414"/>
      <c r="C65" s="415"/>
      <c r="D65" s="415"/>
      <c r="E65" s="415"/>
      <c r="F65" s="415"/>
      <c r="G65" s="415"/>
      <c r="H65" s="415"/>
      <c r="I65" s="416"/>
      <c r="M65" s="304"/>
    </row>
    <row r="66" spans="1:13" ht="15" customHeight="1" thickBot="1" x14ac:dyDescent="0.4">
      <c r="A66" s="347"/>
      <c r="B66" s="337" t="str">
        <f>year-1&amp;" to "&amp;year&amp;":"</f>
        <v>2020 to 2021:</v>
      </c>
      <c r="C66" s="348"/>
      <c r="D66" s="348"/>
      <c r="E66" s="348"/>
      <c r="F66" s="348"/>
      <c r="G66" s="348"/>
      <c r="H66" s="348"/>
      <c r="I66" s="348"/>
      <c r="M66" s="304"/>
    </row>
    <row r="67" spans="1:13" ht="15" customHeight="1" x14ac:dyDescent="0.35">
      <c r="A67" s="347"/>
      <c r="B67" s="411"/>
      <c r="C67" s="412"/>
      <c r="D67" s="412"/>
      <c r="E67" s="412"/>
      <c r="F67" s="412"/>
      <c r="G67" s="412"/>
      <c r="H67" s="412"/>
      <c r="I67" s="413"/>
      <c r="M67" s="304"/>
    </row>
    <row r="68" spans="1:13" ht="15" customHeight="1" thickBot="1" x14ac:dyDescent="0.4">
      <c r="A68" s="347"/>
      <c r="B68" s="414"/>
      <c r="C68" s="415"/>
      <c r="D68" s="415"/>
      <c r="E68" s="415"/>
      <c r="F68" s="415"/>
      <c r="G68" s="415"/>
      <c r="H68" s="415"/>
      <c r="I68" s="416"/>
      <c r="M68" s="304"/>
    </row>
    <row r="69" spans="1:13" ht="15" customHeight="1" x14ac:dyDescent="0.35">
      <c r="A69" s="347"/>
      <c r="B69" s="348"/>
      <c r="C69" s="348"/>
      <c r="D69" s="348"/>
      <c r="E69" s="348"/>
      <c r="F69" s="348"/>
      <c r="G69" s="348"/>
      <c r="H69" s="348"/>
      <c r="I69" s="348"/>
      <c r="M69" s="304"/>
    </row>
    <row r="70" spans="1:13" ht="15" customHeight="1" x14ac:dyDescent="0.35">
      <c r="A70" s="346">
        <f>A59+1</f>
        <v>13</v>
      </c>
      <c r="B70" s="417" t="str">
        <f>"Are there any other factors, such as network, PBM, or demographic changes, that will affect incurred claims? List any factors below. If any of the "&amp;year-3&amp;" to "&amp;year-2&amp;" other factors or "&amp;year-2&amp;" to "&amp;year-1&amp;" other factors have changed from last year's rate proposal, please explain why."</f>
        <v>Are there any other factors, such as network, PBM, or demographic changes, that will affect incurred claims? List any factors below. If any of the 2018 to 2019 other factors or 2019 to 2020 other factors have changed from last year's rate proposal, please explain why.</v>
      </c>
      <c r="C70" s="417"/>
      <c r="D70" s="417"/>
      <c r="E70" s="417"/>
      <c r="F70" s="417"/>
      <c r="G70" s="417"/>
      <c r="H70" s="417"/>
      <c r="I70" s="417"/>
      <c r="M70" s="304"/>
    </row>
    <row r="71" spans="1:13" ht="15" customHeight="1" x14ac:dyDescent="0.35">
      <c r="A71" s="346"/>
      <c r="B71" s="417"/>
      <c r="C71" s="417"/>
      <c r="D71" s="417"/>
      <c r="E71" s="417"/>
      <c r="F71" s="417"/>
      <c r="G71" s="417"/>
      <c r="H71" s="417"/>
      <c r="I71" s="417"/>
      <c r="M71" s="304"/>
    </row>
    <row r="72" spans="1:13" ht="15" customHeight="1" thickBot="1" x14ac:dyDescent="0.4">
      <c r="A72" s="347"/>
      <c r="B72" s="210" t="s">
        <v>326</v>
      </c>
      <c r="C72" s="345"/>
      <c r="D72" s="345"/>
      <c r="E72" s="345"/>
      <c r="F72" s="345"/>
      <c r="G72" s="345"/>
      <c r="H72" s="345"/>
      <c r="I72" s="345"/>
      <c r="M72" s="202"/>
    </row>
    <row r="73" spans="1:13" ht="15" customHeight="1" x14ac:dyDescent="0.35">
      <c r="A73" s="347"/>
      <c r="B73" s="411"/>
      <c r="C73" s="412"/>
      <c r="D73" s="412"/>
      <c r="E73" s="412"/>
      <c r="F73" s="412"/>
      <c r="G73" s="412"/>
      <c r="H73" s="412"/>
      <c r="I73" s="413"/>
    </row>
    <row r="74" spans="1:13" ht="15" customHeight="1" thickBot="1" x14ac:dyDescent="0.4">
      <c r="A74" s="347"/>
      <c r="B74" s="414"/>
      <c r="C74" s="415"/>
      <c r="D74" s="415"/>
      <c r="E74" s="415"/>
      <c r="F74" s="415"/>
      <c r="G74" s="415"/>
      <c r="H74" s="415"/>
      <c r="I74" s="416"/>
    </row>
    <row r="75" spans="1:13" ht="15" customHeight="1" thickBot="1" x14ac:dyDescent="0.4">
      <c r="A75" s="347"/>
      <c r="B75" s="210" t="s">
        <v>327</v>
      </c>
      <c r="C75" s="345"/>
      <c r="D75" s="345"/>
      <c r="E75" s="345"/>
      <c r="F75" s="345"/>
      <c r="G75" s="345"/>
      <c r="H75" s="345"/>
      <c r="I75" s="345"/>
    </row>
    <row r="76" spans="1:13" ht="15" customHeight="1" x14ac:dyDescent="0.35">
      <c r="A76" s="347"/>
      <c r="B76" s="411"/>
      <c r="C76" s="412"/>
      <c r="D76" s="412"/>
      <c r="E76" s="412"/>
      <c r="F76" s="412"/>
      <c r="G76" s="412"/>
      <c r="H76" s="412"/>
      <c r="I76" s="413"/>
    </row>
    <row r="77" spans="1:13" ht="15" customHeight="1" thickBot="1" x14ac:dyDescent="0.4">
      <c r="A77" s="347"/>
      <c r="B77" s="414"/>
      <c r="C77" s="415"/>
      <c r="D77" s="415"/>
      <c r="E77" s="415"/>
      <c r="F77" s="415"/>
      <c r="G77" s="415"/>
      <c r="H77" s="415"/>
      <c r="I77" s="416"/>
    </row>
    <row r="78" spans="1:13" ht="15" customHeight="1" thickBot="1" x14ac:dyDescent="0.4">
      <c r="A78" s="347"/>
      <c r="B78" s="210" t="s">
        <v>356</v>
      </c>
      <c r="C78" s="345"/>
      <c r="D78" s="345"/>
      <c r="E78" s="345"/>
      <c r="F78" s="345"/>
      <c r="G78" s="345"/>
      <c r="H78" s="345"/>
      <c r="I78" s="345"/>
    </row>
    <row r="79" spans="1:13" ht="15" customHeight="1" x14ac:dyDescent="0.35">
      <c r="A79" s="347"/>
      <c r="B79" s="411"/>
      <c r="C79" s="412"/>
      <c r="D79" s="412"/>
      <c r="E79" s="412"/>
      <c r="F79" s="412"/>
      <c r="G79" s="412"/>
      <c r="H79" s="412"/>
      <c r="I79" s="413"/>
    </row>
    <row r="80" spans="1:13" ht="15" customHeight="1" thickBot="1" x14ac:dyDescent="0.4">
      <c r="A80" s="347"/>
      <c r="B80" s="414"/>
      <c r="C80" s="415"/>
      <c r="D80" s="415"/>
      <c r="E80" s="415"/>
      <c r="F80" s="415"/>
      <c r="G80" s="415"/>
      <c r="H80" s="415"/>
      <c r="I80" s="416"/>
    </row>
    <row r="81" spans="1:10" ht="15" customHeight="1" x14ac:dyDescent="0.35">
      <c r="A81" s="347"/>
      <c r="B81" s="349"/>
      <c r="C81" s="349"/>
      <c r="D81" s="349"/>
      <c r="E81" s="349"/>
      <c r="F81" s="349"/>
      <c r="G81" s="349"/>
      <c r="H81" s="349"/>
      <c r="I81" s="349"/>
    </row>
    <row r="82" spans="1:10" ht="15" customHeight="1" x14ac:dyDescent="0.35">
      <c r="A82" s="347">
        <f>A70+1</f>
        <v>14</v>
      </c>
      <c r="B82" s="350" t="str">
        <f>"Explain any discrepancies between Question 10 of the 'Rate Proposal - "&amp;IF(LEFT(FYear,1)="P",5,year-FYear+1)&amp;" year' sheet and the claims estimates in the previous year's proposal."</f>
        <v>Explain any discrepancies between Question 10 of the 'Rate Proposal - 5 year' sheet and the claims estimates in the previous year's proposal.</v>
      </c>
      <c r="C82" s="349"/>
      <c r="D82" s="349"/>
      <c r="E82" s="349"/>
      <c r="F82" s="349"/>
      <c r="G82" s="349"/>
      <c r="H82" s="349"/>
      <c r="I82" s="349"/>
      <c r="J82" s="319"/>
    </row>
    <row r="83" spans="1:10" ht="15" customHeight="1" thickBot="1" x14ac:dyDescent="0.4">
      <c r="A83" s="347"/>
      <c r="B83" s="337" t="str">
        <f>year-3&amp;":"</f>
        <v>2018:</v>
      </c>
      <c r="C83" s="345"/>
      <c r="D83" s="345"/>
      <c r="E83" s="345"/>
      <c r="F83" s="345"/>
      <c r="G83" s="345"/>
      <c r="H83" s="345"/>
      <c r="I83" s="345"/>
    </row>
    <row r="84" spans="1:10" ht="15" customHeight="1" x14ac:dyDescent="0.35">
      <c r="A84" s="347"/>
      <c r="B84" s="411"/>
      <c r="C84" s="412"/>
      <c r="D84" s="412"/>
      <c r="E84" s="412"/>
      <c r="F84" s="412"/>
      <c r="G84" s="412"/>
      <c r="H84" s="412"/>
      <c r="I84" s="413"/>
    </row>
    <row r="85" spans="1:10" ht="15" customHeight="1" x14ac:dyDescent="0.35">
      <c r="A85" s="347"/>
      <c r="B85" s="419"/>
      <c r="C85" s="420"/>
      <c r="D85" s="420"/>
      <c r="E85" s="420"/>
      <c r="F85" s="420"/>
      <c r="G85" s="420"/>
      <c r="H85" s="420"/>
      <c r="I85" s="421"/>
    </row>
    <row r="86" spans="1:10" ht="15" customHeight="1" thickBot="1" x14ac:dyDescent="0.4">
      <c r="A86" s="347"/>
      <c r="B86" s="414"/>
      <c r="C86" s="415"/>
      <c r="D86" s="415"/>
      <c r="E86" s="415"/>
      <c r="F86" s="415"/>
      <c r="G86" s="415"/>
      <c r="H86" s="415"/>
      <c r="I86" s="416"/>
    </row>
    <row r="87" spans="1:10" ht="15" customHeight="1" thickBot="1" x14ac:dyDescent="0.4">
      <c r="A87" s="347"/>
      <c r="B87" s="337" t="str">
        <f>year-2&amp;":"</f>
        <v>2019:</v>
      </c>
      <c r="C87" s="345"/>
      <c r="D87" s="345"/>
      <c r="E87" s="345"/>
      <c r="F87" s="345"/>
      <c r="G87" s="345"/>
      <c r="H87" s="345"/>
      <c r="I87" s="345"/>
    </row>
    <row r="88" spans="1:10" ht="15" customHeight="1" x14ac:dyDescent="0.35">
      <c r="A88" s="347"/>
      <c r="B88" s="411"/>
      <c r="C88" s="412"/>
      <c r="D88" s="412"/>
      <c r="E88" s="412"/>
      <c r="F88" s="412"/>
      <c r="G88" s="412"/>
      <c r="H88" s="412"/>
      <c r="I88" s="413"/>
    </row>
    <row r="89" spans="1:10" ht="15" customHeight="1" x14ac:dyDescent="0.35">
      <c r="A89" s="347"/>
      <c r="B89" s="419"/>
      <c r="C89" s="420"/>
      <c r="D89" s="420"/>
      <c r="E89" s="420"/>
      <c r="F89" s="420"/>
      <c r="G89" s="420"/>
      <c r="H89" s="420"/>
      <c r="I89" s="421"/>
    </row>
    <row r="90" spans="1:10" ht="15" customHeight="1" thickBot="1" x14ac:dyDescent="0.4">
      <c r="A90" s="347"/>
      <c r="B90" s="414"/>
      <c r="C90" s="415"/>
      <c r="D90" s="415"/>
      <c r="E90" s="415"/>
      <c r="F90" s="415"/>
      <c r="G90" s="415"/>
      <c r="H90" s="415"/>
      <c r="I90" s="416"/>
    </row>
    <row r="91" spans="1:10" ht="15" customHeight="1" thickBot="1" x14ac:dyDescent="0.4">
      <c r="A91" s="347"/>
      <c r="B91" s="337" t="str">
        <f>year-1&amp;":"</f>
        <v>2020:</v>
      </c>
      <c r="C91" s="345"/>
      <c r="D91" s="345"/>
      <c r="E91" s="345"/>
      <c r="F91" s="345"/>
      <c r="G91" s="345"/>
      <c r="H91" s="345"/>
      <c r="I91" s="345"/>
    </row>
    <row r="92" spans="1:10" ht="15" customHeight="1" x14ac:dyDescent="0.35">
      <c r="A92" s="347"/>
      <c r="B92" s="411"/>
      <c r="C92" s="412"/>
      <c r="D92" s="412"/>
      <c r="E92" s="412"/>
      <c r="F92" s="412"/>
      <c r="G92" s="412"/>
      <c r="H92" s="412"/>
      <c r="I92" s="413"/>
    </row>
    <row r="93" spans="1:10" ht="15" customHeight="1" x14ac:dyDescent="0.35">
      <c r="A93" s="347"/>
      <c r="B93" s="419"/>
      <c r="C93" s="420"/>
      <c r="D93" s="420"/>
      <c r="E93" s="420"/>
      <c r="F93" s="420"/>
      <c r="G93" s="420"/>
      <c r="H93" s="420"/>
      <c r="I93" s="421"/>
    </row>
    <row r="94" spans="1:10" ht="15" customHeight="1" thickBot="1" x14ac:dyDescent="0.4">
      <c r="A94" s="347"/>
      <c r="B94" s="414"/>
      <c r="C94" s="415"/>
      <c r="D94" s="415"/>
      <c r="E94" s="415"/>
      <c r="F94" s="415"/>
      <c r="G94" s="415"/>
      <c r="H94" s="415"/>
      <c r="I94" s="416"/>
    </row>
    <row r="95" spans="1:10" ht="15" customHeight="1" x14ac:dyDescent="0.35">
      <c r="A95" s="347"/>
      <c r="B95" s="322"/>
      <c r="C95" s="322"/>
      <c r="D95" s="322"/>
      <c r="E95" s="322"/>
      <c r="F95" s="322"/>
      <c r="G95" s="322"/>
      <c r="H95" s="322"/>
      <c r="I95" s="322"/>
    </row>
    <row r="96" spans="1:10" ht="15" customHeight="1" thickBot="1" x14ac:dyDescent="0.4">
      <c r="A96" s="346">
        <f>A82+1</f>
        <v>15</v>
      </c>
      <c r="B96" s="210" t="s">
        <v>330</v>
      </c>
      <c r="C96" s="345"/>
      <c r="D96" s="345"/>
      <c r="E96" s="345"/>
      <c r="F96" s="345"/>
      <c r="G96" s="345"/>
      <c r="H96" s="345"/>
      <c r="I96" s="345"/>
    </row>
    <row r="97" spans="1:9" ht="15" customHeight="1" x14ac:dyDescent="0.35">
      <c r="A97" s="347"/>
      <c r="B97" s="411"/>
      <c r="C97" s="412"/>
      <c r="D97" s="412"/>
      <c r="E97" s="412"/>
      <c r="F97" s="412"/>
      <c r="G97" s="412"/>
      <c r="H97" s="412"/>
      <c r="I97" s="413"/>
    </row>
    <row r="98" spans="1:9" ht="15" customHeight="1" thickBot="1" x14ac:dyDescent="0.4">
      <c r="A98" s="347"/>
      <c r="B98" s="414"/>
      <c r="C98" s="415"/>
      <c r="D98" s="415"/>
      <c r="E98" s="415"/>
      <c r="F98" s="415"/>
      <c r="G98" s="415"/>
      <c r="H98" s="415"/>
      <c r="I98" s="416"/>
    </row>
    <row r="99" spans="1:9" ht="15" customHeight="1" x14ac:dyDescent="0.35">
      <c r="A99" s="347"/>
      <c r="B99" s="345"/>
      <c r="C99" s="345"/>
      <c r="D99" s="345"/>
      <c r="E99" s="345"/>
      <c r="F99" s="345"/>
      <c r="G99" s="345"/>
      <c r="H99" s="345"/>
      <c r="I99" s="345"/>
    </row>
    <row r="100" spans="1:9" ht="15" customHeight="1" thickBot="1" x14ac:dyDescent="0.4">
      <c r="A100" s="346">
        <f>A96+1</f>
        <v>16</v>
      </c>
      <c r="B100" s="210" t="s">
        <v>331</v>
      </c>
      <c r="C100" s="345"/>
      <c r="D100" s="345"/>
      <c r="E100" s="345"/>
      <c r="F100" s="345"/>
      <c r="G100" s="345"/>
      <c r="H100" s="345"/>
      <c r="I100" s="345"/>
    </row>
    <row r="101" spans="1:9" ht="15" customHeight="1" x14ac:dyDescent="0.35">
      <c r="A101" s="347"/>
      <c r="B101" s="411"/>
      <c r="C101" s="412"/>
      <c r="D101" s="412"/>
      <c r="E101" s="412"/>
      <c r="F101" s="412"/>
      <c r="G101" s="412"/>
      <c r="H101" s="412"/>
      <c r="I101" s="413"/>
    </row>
    <row r="102" spans="1:9" ht="15" customHeight="1" thickBot="1" x14ac:dyDescent="0.4">
      <c r="A102" s="347"/>
      <c r="B102" s="414"/>
      <c r="C102" s="415"/>
      <c r="D102" s="415"/>
      <c r="E102" s="415"/>
      <c r="F102" s="415"/>
      <c r="G102" s="415"/>
      <c r="H102" s="415"/>
      <c r="I102" s="416"/>
    </row>
    <row r="103" spans="1:9" ht="15" customHeight="1" x14ac:dyDescent="0.35">
      <c r="A103" s="347"/>
      <c r="B103" s="345"/>
      <c r="C103" s="345"/>
      <c r="D103" s="345"/>
      <c r="E103" s="345"/>
      <c r="F103" s="345"/>
      <c r="G103" s="345"/>
      <c r="H103" s="345"/>
      <c r="I103" s="345"/>
    </row>
    <row r="104" spans="1:9" ht="15" customHeight="1" thickBot="1" x14ac:dyDescent="0.4">
      <c r="A104" s="346">
        <f>A100+1</f>
        <v>17</v>
      </c>
      <c r="B104" s="210" t="str">
        <f>"List any CR payments you have received to date for "&amp;year-1&amp;"."</f>
        <v>List any CR payments you have received to date for 2020.</v>
      </c>
      <c r="C104" s="345"/>
      <c r="D104" s="345"/>
      <c r="E104" s="345"/>
      <c r="F104" s="345"/>
      <c r="G104" s="345"/>
      <c r="H104" s="345"/>
      <c r="I104" s="345"/>
    </row>
    <row r="105" spans="1:9" ht="15" customHeight="1" x14ac:dyDescent="0.35">
      <c r="A105" s="346"/>
      <c r="B105" s="411"/>
      <c r="C105" s="412"/>
      <c r="D105" s="412"/>
      <c r="E105" s="412"/>
      <c r="F105" s="412"/>
      <c r="G105" s="412"/>
      <c r="H105" s="412"/>
      <c r="I105" s="413"/>
    </row>
    <row r="106" spans="1:9" ht="15" customHeight="1" thickBot="1" x14ac:dyDescent="0.4">
      <c r="A106" s="346"/>
      <c r="B106" s="414"/>
      <c r="C106" s="415"/>
      <c r="D106" s="415"/>
      <c r="E106" s="415"/>
      <c r="F106" s="415"/>
      <c r="G106" s="415"/>
      <c r="H106" s="415"/>
      <c r="I106" s="416"/>
    </row>
    <row r="107" spans="1:9" ht="15" customHeight="1" x14ac:dyDescent="0.35">
      <c r="A107" s="347"/>
      <c r="B107" s="345"/>
      <c r="C107" s="345"/>
      <c r="D107" s="345"/>
      <c r="E107" s="345"/>
      <c r="F107" s="345"/>
      <c r="G107" s="345"/>
      <c r="H107" s="345"/>
      <c r="I107" s="345"/>
    </row>
    <row r="108" spans="1:9" ht="15" customHeight="1" x14ac:dyDescent="0.35">
      <c r="A108" s="346">
        <f>A104+1</f>
        <v>18</v>
      </c>
      <c r="B108" s="417" t="str">
        <f>"In addition to any payments listed in Question "&amp;A104&amp;", list any CR payments you expect to receive in "&amp;year-1&amp;". If you expect to receive the formula driven payment in September "&amp;year-1&amp;", please also list this amount here."</f>
        <v>In addition to any payments listed in Question 17, list any CR payments you expect to receive in 2020. If you expect to receive the formula driven payment in September 2020, please also list this amount here.</v>
      </c>
      <c r="C108" s="417"/>
      <c r="D108" s="417"/>
      <c r="E108" s="417"/>
      <c r="F108" s="417"/>
      <c r="G108" s="417"/>
      <c r="H108" s="417"/>
      <c r="I108" s="417"/>
    </row>
    <row r="109" spans="1:9" ht="15" customHeight="1" thickBot="1" x14ac:dyDescent="0.4">
      <c r="A109" s="351"/>
      <c r="B109" s="418"/>
      <c r="C109" s="418"/>
      <c r="D109" s="418"/>
      <c r="E109" s="418"/>
      <c r="F109" s="418"/>
      <c r="G109" s="418"/>
      <c r="H109" s="418"/>
      <c r="I109" s="418"/>
    </row>
    <row r="110" spans="1:9" ht="15" customHeight="1" x14ac:dyDescent="0.35">
      <c r="A110" s="346"/>
      <c r="B110" s="411"/>
      <c r="C110" s="412"/>
      <c r="D110" s="412"/>
      <c r="E110" s="412"/>
      <c r="F110" s="412"/>
      <c r="G110" s="412"/>
      <c r="H110" s="412"/>
      <c r="I110" s="413"/>
    </row>
    <row r="111" spans="1:9" ht="15" customHeight="1" thickBot="1" x14ac:dyDescent="0.4">
      <c r="A111" s="346"/>
      <c r="B111" s="414"/>
      <c r="C111" s="415"/>
      <c r="D111" s="415"/>
      <c r="E111" s="415"/>
      <c r="F111" s="415"/>
      <c r="G111" s="415"/>
      <c r="H111" s="415"/>
      <c r="I111" s="416"/>
    </row>
    <row r="112" spans="1:9" ht="15" customHeight="1" x14ac:dyDescent="0.35">
      <c r="A112" s="347"/>
      <c r="B112" s="345"/>
      <c r="C112" s="345"/>
      <c r="D112" s="345"/>
      <c r="E112" s="345"/>
      <c r="F112" s="345"/>
      <c r="G112" s="345"/>
      <c r="H112" s="345"/>
      <c r="I112" s="345"/>
    </row>
    <row r="113" spans="1:9" ht="15" customHeight="1" thickBot="1" x14ac:dyDescent="0.4">
      <c r="A113" s="346">
        <f>A108+1</f>
        <v>19</v>
      </c>
      <c r="B113" s="210" t="s">
        <v>328</v>
      </c>
      <c r="C113" s="345"/>
      <c r="D113" s="345"/>
      <c r="E113" s="345"/>
      <c r="F113" s="345"/>
      <c r="G113" s="345"/>
      <c r="H113" s="345"/>
      <c r="I113" s="345"/>
    </row>
    <row r="114" spans="1:9" ht="15" customHeight="1" x14ac:dyDescent="0.35">
      <c r="A114" s="347"/>
      <c r="B114" s="411"/>
      <c r="C114" s="412"/>
      <c r="D114" s="412"/>
      <c r="E114" s="412"/>
      <c r="F114" s="412"/>
      <c r="G114" s="412"/>
      <c r="H114" s="412"/>
      <c r="I114" s="413"/>
    </row>
    <row r="115" spans="1:9" ht="15" customHeight="1" x14ac:dyDescent="0.35">
      <c r="A115" s="352"/>
      <c r="B115" s="419"/>
      <c r="C115" s="420"/>
      <c r="D115" s="420"/>
      <c r="E115" s="420"/>
      <c r="F115" s="420"/>
      <c r="G115" s="420"/>
      <c r="H115" s="420"/>
      <c r="I115" s="421"/>
    </row>
    <row r="116" spans="1:9" ht="15" customHeight="1" x14ac:dyDescent="0.35">
      <c r="A116" s="352"/>
      <c r="B116" s="419"/>
      <c r="C116" s="420"/>
      <c r="D116" s="420"/>
      <c r="E116" s="420"/>
      <c r="F116" s="420"/>
      <c r="G116" s="420"/>
      <c r="H116" s="420"/>
      <c r="I116" s="421"/>
    </row>
    <row r="117" spans="1:9" ht="15" customHeight="1" thickBot="1" x14ac:dyDescent="0.4">
      <c r="A117" s="352"/>
      <c r="B117" s="414"/>
      <c r="C117" s="415"/>
      <c r="D117" s="415"/>
      <c r="E117" s="415"/>
      <c r="F117" s="415"/>
      <c r="G117" s="415"/>
      <c r="H117" s="415"/>
      <c r="I117" s="416"/>
    </row>
    <row r="118" spans="1:9" x14ac:dyDescent="0.35">
      <c r="A118" s="340"/>
    </row>
    <row r="119" spans="1:9" x14ac:dyDescent="0.35">
      <c r="A119" s="340"/>
    </row>
    <row r="120" spans="1:9" x14ac:dyDescent="0.35">
      <c r="A120" s="340"/>
    </row>
    <row r="121" spans="1:9" x14ac:dyDescent="0.35">
      <c r="A121" s="340"/>
    </row>
    <row r="122" spans="1:9" x14ac:dyDescent="0.35">
      <c r="A122" s="340"/>
    </row>
    <row r="123" spans="1:9" x14ac:dyDescent="0.35">
      <c r="A123" s="340"/>
    </row>
    <row r="124" spans="1:9" x14ac:dyDescent="0.35">
      <c r="A124" s="340"/>
    </row>
    <row r="125" spans="1:9" x14ac:dyDescent="0.35">
      <c r="A125" s="340"/>
    </row>
    <row r="126" spans="1:9" x14ac:dyDescent="0.35">
      <c r="A126" s="340"/>
    </row>
    <row r="127" spans="1:9" x14ac:dyDescent="0.35">
      <c r="A127" s="340"/>
    </row>
    <row r="128" spans="1:9" x14ac:dyDescent="0.35">
      <c r="A128" s="340"/>
    </row>
    <row r="129" spans="1:1" x14ac:dyDescent="0.35">
      <c r="A129" s="340"/>
    </row>
    <row r="130" spans="1:1" x14ac:dyDescent="0.35">
      <c r="A130" s="340"/>
    </row>
    <row r="131" spans="1:1" x14ac:dyDescent="0.35">
      <c r="A131" s="340"/>
    </row>
    <row r="132" spans="1:1" x14ac:dyDescent="0.35">
      <c r="A132" s="340"/>
    </row>
    <row r="133" spans="1:1" x14ac:dyDescent="0.35">
      <c r="A133" s="340"/>
    </row>
    <row r="134" spans="1:1" x14ac:dyDescent="0.35">
      <c r="A134" s="340"/>
    </row>
    <row r="135" spans="1:1" x14ac:dyDescent="0.35">
      <c r="A135" s="340"/>
    </row>
    <row r="136" spans="1:1" x14ac:dyDescent="0.35">
      <c r="A136" s="340"/>
    </row>
    <row r="137" spans="1:1" x14ac:dyDescent="0.35">
      <c r="A137" s="340"/>
    </row>
    <row r="138" spans="1:1" x14ac:dyDescent="0.35">
      <c r="A138" s="340"/>
    </row>
    <row r="139" spans="1:1" x14ac:dyDescent="0.35">
      <c r="A139" s="340"/>
    </row>
    <row r="140" spans="1:1" x14ac:dyDescent="0.35">
      <c r="A140" s="340"/>
    </row>
    <row r="141" spans="1:1" x14ac:dyDescent="0.35">
      <c r="A141" s="340"/>
    </row>
    <row r="142" spans="1:1" x14ac:dyDescent="0.35">
      <c r="A142" s="340"/>
    </row>
    <row r="143" spans="1:1" x14ac:dyDescent="0.35">
      <c r="A143" s="340"/>
    </row>
    <row r="144" spans="1:1" x14ac:dyDescent="0.35">
      <c r="A144" s="340"/>
    </row>
    <row r="145" spans="1:1" x14ac:dyDescent="0.35">
      <c r="A145" s="340"/>
    </row>
    <row r="146" spans="1:1" x14ac:dyDescent="0.35">
      <c r="A146" s="340"/>
    </row>
    <row r="147" spans="1:1" x14ac:dyDescent="0.35">
      <c r="A147" s="340"/>
    </row>
    <row r="148" spans="1:1" x14ac:dyDescent="0.35">
      <c r="A148" s="340"/>
    </row>
    <row r="149" spans="1:1" x14ac:dyDescent="0.35">
      <c r="A149" s="340"/>
    </row>
    <row r="150" spans="1:1" x14ac:dyDescent="0.35">
      <c r="A150" s="340"/>
    </row>
    <row r="151" spans="1:1" x14ac:dyDescent="0.35">
      <c r="A151" s="340"/>
    </row>
    <row r="152" spans="1:1" x14ac:dyDescent="0.35">
      <c r="A152" s="340"/>
    </row>
    <row r="153" spans="1:1" x14ac:dyDescent="0.35">
      <c r="A153" s="340"/>
    </row>
    <row r="154" spans="1:1" x14ac:dyDescent="0.35">
      <c r="A154" s="340"/>
    </row>
    <row r="155" spans="1:1" x14ac:dyDescent="0.35">
      <c r="A155" s="340"/>
    </row>
    <row r="156" spans="1:1" x14ac:dyDescent="0.35">
      <c r="A156" s="340"/>
    </row>
    <row r="157" spans="1:1" x14ac:dyDescent="0.35">
      <c r="A157" s="340"/>
    </row>
    <row r="158" spans="1:1" x14ac:dyDescent="0.35">
      <c r="A158" s="340"/>
    </row>
    <row r="159" spans="1:1" x14ac:dyDescent="0.35">
      <c r="A159" s="340"/>
    </row>
    <row r="160" spans="1:1" x14ac:dyDescent="0.35">
      <c r="A160" s="340"/>
    </row>
    <row r="161" spans="1:1" x14ac:dyDescent="0.35">
      <c r="A161" s="340"/>
    </row>
    <row r="162" spans="1:1" x14ac:dyDescent="0.35">
      <c r="A162" s="340"/>
    </row>
    <row r="163" spans="1:1" x14ac:dyDescent="0.35">
      <c r="A163" s="340"/>
    </row>
    <row r="164" spans="1:1" x14ac:dyDescent="0.35">
      <c r="A164" s="340"/>
    </row>
    <row r="165" spans="1:1" x14ac:dyDescent="0.35">
      <c r="A165" s="340"/>
    </row>
    <row r="166" spans="1:1" x14ac:dyDescent="0.35">
      <c r="A166" s="340"/>
    </row>
    <row r="167" spans="1:1" x14ac:dyDescent="0.35">
      <c r="A167" s="340"/>
    </row>
    <row r="168" spans="1:1" x14ac:dyDescent="0.35">
      <c r="A168" s="340"/>
    </row>
    <row r="169" spans="1:1" x14ac:dyDescent="0.35">
      <c r="A169" s="340"/>
    </row>
    <row r="170" spans="1:1" x14ac:dyDescent="0.35">
      <c r="A170" s="340"/>
    </row>
    <row r="171" spans="1:1" x14ac:dyDescent="0.35">
      <c r="A171" s="340"/>
    </row>
    <row r="172" spans="1:1" x14ac:dyDescent="0.35">
      <c r="A172" s="340"/>
    </row>
    <row r="173" spans="1:1" x14ac:dyDescent="0.35">
      <c r="A173" s="340"/>
    </row>
    <row r="174" spans="1:1" x14ac:dyDescent="0.35">
      <c r="A174" s="340"/>
    </row>
    <row r="175" spans="1:1" x14ac:dyDescent="0.35">
      <c r="A175" s="340"/>
    </row>
    <row r="176" spans="1:1" x14ac:dyDescent="0.35">
      <c r="A176" s="340"/>
    </row>
    <row r="177" spans="1:1" x14ac:dyDescent="0.35">
      <c r="A177" s="340"/>
    </row>
    <row r="178" spans="1:1" x14ac:dyDescent="0.35">
      <c r="A178" s="340"/>
    </row>
    <row r="179" spans="1:1" x14ac:dyDescent="0.35">
      <c r="A179" s="340"/>
    </row>
    <row r="180" spans="1:1" x14ac:dyDescent="0.35">
      <c r="A180" s="340"/>
    </row>
    <row r="181" spans="1:1" x14ac:dyDescent="0.35">
      <c r="A181" s="340"/>
    </row>
    <row r="182" spans="1:1" x14ac:dyDescent="0.35">
      <c r="A182" s="340"/>
    </row>
    <row r="183" spans="1:1" x14ac:dyDescent="0.35">
      <c r="A183" s="340"/>
    </row>
    <row r="184" spans="1:1" x14ac:dyDescent="0.35">
      <c r="A184" s="340"/>
    </row>
    <row r="185" spans="1:1" x14ac:dyDescent="0.35">
      <c r="A185" s="340"/>
    </row>
    <row r="186" spans="1:1" x14ac:dyDescent="0.35">
      <c r="A186" s="340"/>
    </row>
    <row r="187" spans="1:1" x14ac:dyDescent="0.35">
      <c r="A187" s="340"/>
    </row>
    <row r="188" spans="1:1" x14ac:dyDescent="0.35">
      <c r="A188" s="340"/>
    </row>
    <row r="189" spans="1:1" x14ac:dyDescent="0.35">
      <c r="A189" s="340"/>
    </row>
    <row r="190" spans="1:1" x14ac:dyDescent="0.35">
      <c r="A190" s="340"/>
    </row>
    <row r="191" spans="1:1" x14ac:dyDescent="0.35">
      <c r="A191" s="340"/>
    </row>
    <row r="192" spans="1:1" x14ac:dyDescent="0.35">
      <c r="A192" s="340"/>
    </row>
    <row r="193" spans="1:1" x14ac:dyDescent="0.35">
      <c r="A193" s="340"/>
    </row>
    <row r="194" spans="1:1" x14ac:dyDescent="0.35">
      <c r="A194" s="340"/>
    </row>
    <row r="195" spans="1:1" x14ac:dyDescent="0.35">
      <c r="A195" s="340"/>
    </row>
    <row r="196" spans="1:1" x14ac:dyDescent="0.35">
      <c r="A196" s="340"/>
    </row>
    <row r="197" spans="1:1" x14ac:dyDescent="0.35">
      <c r="A197" s="340"/>
    </row>
    <row r="198" spans="1:1" x14ac:dyDescent="0.35">
      <c r="A198" s="340"/>
    </row>
    <row r="199" spans="1:1" x14ac:dyDescent="0.35">
      <c r="A199" s="340"/>
    </row>
    <row r="200" spans="1:1" x14ac:dyDescent="0.35">
      <c r="A200" s="340"/>
    </row>
  </sheetData>
  <sheetProtection algorithmName="SHA-512" hashValue="7+kZWQ+fHB1aLnypnVGYS/E+fl6lZT9dc5+8rfNvlR89PRlifAee8BASz3wjqaDX2l7zIPvNLN6tUfUQE1QIdg==" saltValue="ts5m/00NMHYBJJzhQ2cp5w==" spinCount="100000" sheet="1" objects="1" scenarios="1"/>
  <dataConsolidate/>
  <mergeCells count="34">
    <mergeCell ref="D15:I15"/>
    <mergeCell ref="A20:I22"/>
    <mergeCell ref="D17:I17"/>
    <mergeCell ref="A24:I26"/>
    <mergeCell ref="B1:I1"/>
    <mergeCell ref="D7:I7"/>
    <mergeCell ref="D9:I9"/>
    <mergeCell ref="D13:I13"/>
    <mergeCell ref="A4:I5"/>
    <mergeCell ref="B114:I117"/>
    <mergeCell ref="B73:I74"/>
    <mergeCell ref="B79:I80"/>
    <mergeCell ref="B76:I77"/>
    <mergeCell ref="B46:I49"/>
    <mergeCell ref="B64:I65"/>
    <mergeCell ref="B53:I54"/>
    <mergeCell ref="B110:I111"/>
    <mergeCell ref="B108:I109"/>
    <mergeCell ref="B84:I86"/>
    <mergeCell ref="B88:I90"/>
    <mergeCell ref="B92:I94"/>
    <mergeCell ref="B56:I57"/>
    <mergeCell ref="B61:I62"/>
    <mergeCell ref="B67:I68"/>
    <mergeCell ref="B41:I42"/>
    <mergeCell ref="B97:I98"/>
    <mergeCell ref="B101:I102"/>
    <mergeCell ref="B105:I106"/>
    <mergeCell ref="B27:I28"/>
    <mergeCell ref="B34:I35"/>
    <mergeCell ref="B29:I32"/>
    <mergeCell ref="B36:I38"/>
    <mergeCell ref="B44:I45"/>
    <mergeCell ref="B70:I71"/>
  </mergeCells>
  <dataValidations count="3">
    <dataValidation type="list" allowBlank="1" showInputMessage="1" showErrorMessage="1" sqref="D11" xr:uid="{00000000-0002-0000-0100-000000000000}">
      <formula1>$O$1:$O$2</formula1>
    </dataValidation>
    <dataValidation type="list" allowBlank="1" showInputMessage="1" showErrorMessage="1" sqref="I11" xr:uid="{00000000-0002-0000-0100-000001000000}">
      <formula1>$P$1:$P$2</formula1>
    </dataValidation>
    <dataValidation type="list" allowBlank="1" showInputMessage="1" showErrorMessage="1" sqref="G11" xr:uid="{00000000-0002-0000-0100-000002000000}">
      <formula1>$Q$1:$Q$5</formula1>
    </dataValidation>
  </dataValidations>
  <pageMargins left="0.7" right="0.7" top="0.75" bottom="0.75" header="0.3" footer="0.3"/>
  <pageSetup scale="62" orientation="portrait" r:id="rId1"/>
  <rowBreaks count="1" manualBreakCount="1">
    <brk id="6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20"/>
  </sheetPr>
  <dimension ref="A1:V282"/>
  <sheetViews>
    <sheetView zoomScaleNormal="100" workbookViewId="0">
      <selection activeCell="D121" sqref="D121"/>
    </sheetView>
  </sheetViews>
  <sheetFormatPr defaultColWidth="9.1796875" defaultRowHeight="14.5" x14ac:dyDescent="0.35"/>
  <cols>
    <col min="1" max="9" width="16.7265625" style="54" customWidth="1"/>
    <col min="10" max="10" width="7.26953125" style="54" customWidth="1"/>
    <col min="11" max="18" width="9.1796875" style="54" customWidth="1"/>
    <col min="19" max="21" width="9.1796875" style="54" hidden="1" customWidth="1"/>
    <col min="22" max="22" width="9.1796875" style="54" customWidth="1"/>
    <col min="23" max="16384" width="9.1796875" style="54"/>
  </cols>
  <sheetData>
    <row r="1" spans="1:22" ht="23.5" x14ac:dyDescent="0.55000000000000004">
      <c r="A1" s="469" t="s">
        <v>171</v>
      </c>
      <c r="B1" s="469"/>
      <c r="C1" s="469"/>
      <c r="D1" s="469"/>
      <c r="E1" s="469"/>
      <c r="F1" s="469"/>
      <c r="G1" s="469"/>
      <c r="H1" s="469"/>
      <c r="I1" s="469"/>
      <c r="J1" s="469"/>
      <c r="K1" s="469"/>
      <c r="R1" s="76"/>
      <c r="S1" s="54" t="s">
        <v>76</v>
      </c>
      <c r="T1" s="54">
        <f>CHOOSE(MATCH(E205,S1:S13,0),1,2,3,4,5,6,7,8,9,10,11,12,13)</f>
        <v>13</v>
      </c>
      <c r="U1" s="54" t="b">
        <f>IF(AND(T1&gt;12,T2&gt;12,T3&gt;12),TRUE,FALSE)</f>
        <v>1</v>
      </c>
      <c r="V1" s="4"/>
    </row>
    <row r="2" spans="1:22" x14ac:dyDescent="0.35">
      <c r="A2" s="470" t="str">
        <f xml:space="preserve"> Plan &amp; " - " &amp;IF(Option="1, 3, 2", Code&amp;"1, "&amp;Code&amp;"3, "&amp;Code&amp;"2", IF(Option="4, 6, 5", Code&amp;"4, "&amp;Code&amp;"6, "&amp;Code&amp;"5", ""))</f>
        <v xml:space="preserve"> - </v>
      </c>
      <c r="B2" s="470"/>
      <c r="C2" s="470"/>
      <c r="D2" s="470"/>
      <c r="E2" s="470"/>
      <c r="F2" s="470"/>
      <c r="G2" s="470"/>
      <c r="H2" s="470"/>
      <c r="I2" s="470"/>
      <c r="J2" s="470"/>
      <c r="K2" s="470"/>
      <c r="R2" s="76"/>
      <c r="S2" s="54" t="s">
        <v>77</v>
      </c>
      <c r="T2" s="54">
        <f>CHOOSE(MATCH(E207,S1:S13,0),1,2,3,4,5,6,7,8,9,10,11,12,13)</f>
        <v>13</v>
      </c>
      <c r="V2" s="4"/>
    </row>
    <row r="3" spans="1:22" x14ac:dyDescent="0.35">
      <c r="S3" s="54" t="s">
        <v>78</v>
      </c>
      <c r="T3" s="54">
        <f>CHOOSE(MATCH(E209,S1:S13,0),1,2,3,4,5,6,7,8,9,10,11,12,13)</f>
        <v>13</v>
      </c>
    </row>
    <row r="4" spans="1:22" x14ac:dyDescent="0.35">
      <c r="A4" s="32" t="s">
        <v>208</v>
      </c>
      <c r="S4" s="54" t="s">
        <v>79</v>
      </c>
      <c r="T4" s="54">
        <f>CHOOSE(MATCH(E211,S1:S13,0),1,2,3,4,5,6,7,8,9,10,11,12,13)</f>
        <v>13</v>
      </c>
      <c r="U4" s="54" t="b">
        <f>IF(AND(T4&gt;12,T5&gt;12,T6&gt;12),TRUE,FALSE)</f>
        <v>1</v>
      </c>
    </row>
    <row r="5" spans="1:22" ht="15" thickBot="1" x14ac:dyDescent="0.4">
      <c r="D5" s="471" t="str">
        <f>year-3 &amp; " Accounting Statement"</f>
        <v>2018 Accounting Statement</v>
      </c>
      <c r="E5" s="471"/>
      <c r="F5" s="471"/>
      <c r="G5" s="77"/>
      <c r="H5" s="472" t="str">
        <f>year-2 &amp; " Accounting Statement"</f>
        <v>2019 Accounting Statement</v>
      </c>
      <c r="I5" s="471"/>
      <c r="J5" s="471"/>
      <c r="K5" s="78"/>
      <c r="S5" s="54" t="s">
        <v>80</v>
      </c>
      <c r="T5" s="54">
        <f>CHOOSE(MATCH(E213,S1:S13,0),1,2,3,4,5,6,7,8,9,10,11,12,13)</f>
        <v>13</v>
      </c>
    </row>
    <row r="6" spans="1:22" ht="15" thickTop="1" x14ac:dyDescent="0.35">
      <c r="B6" s="9" t="s">
        <v>291</v>
      </c>
      <c r="G6" s="79"/>
      <c r="H6" s="79"/>
      <c r="I6" s="65"/>
      <c r="J6" s="65"/>
      <c r="S6" s="54" t="s">
        <v>81</v>
      </c>
      <c r="T6" s="54">
        <f>CHOOSE(MATCH(E215,S1:S13,0),1,2,3,4,5,6,7,8,9,10,11,12,13)</f>
        <v>13</v>
      </c>
    </row>
    <row r="7" spans="1:22" ht="15" thickBot="1" x14ac:dyDescent="0.4">
      <c r="B7" s="9" t="s">
        <v>292</v>
      </c>
      <c r="G7" s="79"/>
      <c r="H7" s="79"/>
      <c r="I7" s="65"/>
      <c r="J7" s="65"/>
      <c r="S7" s="54" t="s">
        <v>82</v>
      </c>
    </row>
    <row r="8" spans="1:22" ht="15" thickBot="1" x14ac:dyDescent="0.4">
      <c r="B8" s="7" t="s">
        <v>296</v>
      </c>
      <c r="E8" s="316"/>
      <c r="F8" s="81"/>
      <c r="G8" s="79"/>
      <c r="H8" s="79"/>
      <c r="I8" s="80"/>
      <c r="J8" s="81"/>
      <c r="S8" s="54" t="s">
        <v>83</v>
      </c>
    </row>
    <row r="9" spans="1:22" ht="15" thickBot="1" x14ac:dyDescent="0.4">
      <c r="B9" s="7" t="s">
        <v>297</v>
      </c>
      <c r="E9" s="80"/>
      <c r="F9" s="81"/>
      <c r="G9" s="79"/>
      <c r="H9" s="79"/>
      <c r="I9" s="80"/>
      <c r="J9" s="81"/>
      <c r="S9" s="54" t="s">
        <v>84</v>
      </c>
    </row>
    <row r="10" spans="1:22" ht="15" thickBot="1" x14ac:dyDescent="0.4">
      <c r="B10" s="9" t="s">
        <v>293</v>
      </c>
      <c r="E10" s="7"/>
      <c r="G10" s="79"/>
      <c r="H10" s="79"/>
      <c r="I10" s="12"/>
      <c r="J10" s="65"/>
      <c r="S10" s="54" t="s">
        <v>85</v>
      </c>
    </row>
    <row r="11" spans="1:22" ht="15" thickBot="1" x14ac:dyDescent="0.4">
      <c r="B11" s="7" t="s">
        <v>296</v>
      </c>
      <c r="E11" s="80"/>
      <c r="F11" s="81"/>
      <c r="G11" s="79"/>
      <c r="H11" s="79"/>
      <c r="I11" s="82"/>
      <c r="J11" s="65"/>
      <c r="S11" s="54" t="s">
        <v>86</v>
      </c>
    </row>
    <row r="12" spans="1:22" ht="15" thickBot="1" x14ac:dyDescent="0.4">
      <c r="B12" s="7" t="s">
        <v>297</v>
      </c>
      <c r="E12" s="80"/>
      <c r="F12" s="81"/>
      <c r="G12" s="79"/>
      <c r="H12" s="79"/>
      <c r="I12" s="82"/>
      <c r="J12" s="65"/>
      <c r="S12" s="54" t="s">
        <v>87</v>
      </c>
    </row>
    <row r="13" spans="1:22" ht="15" thickBot="1" x14ac:dyDescent="0.4">
      <c r="B13" s="9" t="s">
        <v>294</v>
      </c>
      <c r="E13" s="7"/>
      <c r="G13" s="79"/>
      <c r="H13" s="79"/>
      <c r="I13" s="12"/>
      <c r="J13" s="65"/>
      <c r="S13" s="54" t="s">
        <v>75</v>
      </c>
    </row>
    <row r="14" spans="1:22" ht="15" thickBot="1" x14ac:dyDescent="0.4">
      <c r="B14" s="7" t="s">
        <v>296</v>
      </c>
      <c r="E14" s="82"/>
      <c r="G14" s="79"/>
      <c r="H14" s="79"/>
      <c r="I14" s="82"/>
      <c r="J14" s="65"/>
    </row>
    <row r="15" spans="1:22" ht="15" thickBot="1" x14ac:dyDescent="0.4">
      <c r="B15" s="7" t="s">
        <v>297</v>
      </c>
      <c r="E15" s="82"/>
      <c r="G15" s="79"/>
      <c r="H15" s="79"/>
      <c r="I15" s="82"/>
      <c r="J15" s="65"/>
    </row>
    <row r="16" spans="1:22" ht="15" thickBot="1" x14ac:dyDescent="0.4">
      <c r="B16" s="9" t="s">
        <v>295</v>
      </c>
      <c r="E16" s="82"/>
      <c r="G16" s="79"/>
      <c r="H16" s="79"/>
      <c r="I16" s="82"/>
      <c r="J16" s="65"/>
    </row>
    <row r="17" spans="1:10" ht="15" thickBot="1" x14ac:dyDescent="0.4">
      <c r="B17" s="7"/>
      <c r="G17" s="79"/>
      <c r="H17" s="79"/>
      <c r="I17" s="12"/>
      <c r="J17" s="65"/>
    </row>
    <row r="18" spans="1:10" ht="15" thickBot="1" x14ac:dyDescent="0.4">
      <c r="B18" s="9" t="s">
        <v>298</v>
      </c>
      <c r="G18" s="79"/>
      <c r="H18" s="79"/>
      <c r="I18" s="82"/>
      <c r="J18" s="65"/>
    </row>
    <row r="19" spans="1:10" ht="15" thickBot="1" x14ac:dyDescent="0.4">
      <c r="B19" s="7"/>
      <c r="G19" s="79"/>
      <c r="H19" s="79"/>
      <c r="I19" s="12"/>
      <c r="J19" s="65"/>
    </row>
    <row r="20" spans="1:10" ht="15" thickBot="1" x14ac:dyDescent="0.4">
      <c r="B20" s="9" t="s">
        <v>299</v>
      </c>
      <c r="G20" s="79"/>
      <c r="H20" s="79"/>
      <c r="I20" s="82"/>
      <c r="J20" s="65"/>
    </row>
    <row r="22" spans="1:10" x14ac:dyDescent="0.35">
      <c r="A22" s="32" t="str">
        <f>"2. Reconcile your " &amp; year-3 &amp; " and " &amp; year-2 &amp; " Premium Income"</f>
        <v>2. Reconcile your 2018 and 2019 Premium Income</v>
      </c>
    </row>
    <row r="24" spans="1:10" x14ac:dyDescent="0.35">
      <c r="C24" s="83" t="s">
        <v>26</v>
      </c>
      <c r="D24" s="16" t="s">
        <v>74</v>
      </c>
      <c r="F24" s="473" t="s">
        <v>29</v>
      </c>
      <c r="G24" s="473"/>
      <c r="H24" s="83" t="s">
        <v>32</v>
      </c>
      <c r="I24" s="454"/>
      <c r="J24" s="454"/>
    </row>
    <row r="25" spans="1:10" x14ac:dyDescent="0.35">
      <c r="C25" s="84" t="s">
        <v>27</v>
      </c>
      <c r="D25" s="84" t="s">
        <v>28</v>
      </c>
      <c r="F25" s="85" t="s">
        <v>30</v>
      </c>
      <c r="G25" s="85" t="s">
        <v>31</v>
      </c>
      <c r="H25" s="86" t="s">
        <v>28</v>
      </c>
      <c r="I25" s="84"/>
      <c r="J25" s="260"/>
    </row>
    <row r="26" spans="1:10" ht="3" customHeight="1" thickBot="1" x14ac:dyDescent="0.4">
      <c r="C26" s="84"/>
      <c r="D26" s="84"/>
      <c r="F26" s="84"/>
      <c r="G26" s="84"/>
      <c r="H26" s="84"/>
      <c r="I26" s="87"/>
      <c r="J26" s="87"/>
    </row>
    <row r="27" spans="1:10" ht="15" thickBot="1" x14ac:dyDescent="0.4">
      <c r="A27" s="32" t="str">
        <f>year - 3 &amp; ":"</f>
        <v>2018:</v>
      </c>
      <c r="B27" s="54" t="s">
        <v>33</v>
      </c>
      <c r="C27" s="88"/>
      <c r="D27" s="89"/>
      <c r="E27" s="90" t="s">
        <v>36</v>
      </c>
      <c r="F27" s="56">
        <f>$C27*26*$D27</f>
        <v>0</v>
      </c>
      <c r="H27" s="91" t="e">
        <f>ROUND($D27*($G$30/$F$30),0)</f>
        <v>#DIV/0!</v>
      </c>
      <c r="I27" s="87"/>
      <c r="J27" s="87"/>
    </row>
    <row r="28" spans="1:10" ht="15" thickBot="1" x14ac:dyDescent="0.4">
      <c r="A28" s="32"/>
      <c r="B28" s="54" t="s">
        <v>190</v>
      </c>
      <c r="C28" s="88"/>
      <c r="D28" s="89"/>
      <c r="E28" s="399" t="s">
        <v>36</v>
      </c>
      <c r="F28" s="56">
        <f>$C28*26*$D28</f>
        <v>0</v>
      </c>
      <c r="H28" s="91" t="e">
        <f>ROUND($D28*($G$30/$F$30),0)</f>
        <v>#DIV/0!</v>
      </c>
      <c r="I28" s="87"/>
      <c r="J28" s="87"/>
    </row>
    <row r="29" spans="1:10" ht="15" thickBot="1" x14ac:dyDescent="0.4">
      <c r="B29" s="54" t="s">
        <v>34</v>
      </c>
      <c r="C29" s="88"/>
      <c r="D29" s="89"/>
      <c r="E29" s="90" t="s">
        <v>36</v>
      </c>
      <c r="F29" s="92">
        <f>$C29*26*$D29</f>
        <v>0</v>
      </c>
      <c r="G29" s="71"/>
      <c r="H29" s="93" t="e">
        <f>ROUND($D29*($G$30/$F$30),0)</f>
        <v>#DIV/0!</v>
      </c>
      <c r="I29" s="87"/>
      <c r="J29" s="87"/>
    </row>
    <row r="30" spans="1:10" x14ac:dyDescent="0.35">
      <c r="B30" s="32" t="s">
        <v>35</v>
      </c>
      <c r="C30" s="254"/>
      <c r="D30" s="94">
        <f>SUM(D27:D29)</f>
        <v>0</v>
      </c>
      <c r="E30" s="90"/>
      <c r="F30" s="95">
        <f>SUM(F27:F29)</f>
        <v>0</v>
      </c>
      <c r="G30" s="96">
        <f>E8-E11+E14</f>
        <v>0</v>
      </c>
      <c r="H30" s="94" t="e">
        <f>SUM(H27:H29)</f>
        <v>#DIV/0!</v>
      </c>
      <c r="I30" s="87"/>
      <c r="J30" s="87"/>
    </row>
    <row r="31" spans="1:10" ht="3" customHeight="1" thickBot="1" x14ac:dyDescent="0.4">
      <c r="C31" s="254"/>
      <c r="E31" s="90"/>
      <c r="I31" s="87"/>
      <c r="J31" s="87"/>
    </row>
    <row r="32" spans="1:10" ht="15" thickBot="1" x14ac:dyDescent="0.4">
      <c r="A32" s="32" t="str">
        <f>year - 2 &amp; ":"</f>
        <v>2019:</v>
      </c>
      <c r="B32" s="54" t="s">
        <v>33</v>
      </c>
      <c r="C32" s="88"/>
      <c r="D32" s="89"/>
      <c r="E32" s="90" t="s">
        <v>37</v>
      </c>
      <c r="F32" s="56">
        <f>$C32*26*$D32</f>
        <v>0</v>
      </c>
      <c r="H32" s="97" t="e">
        <f>ROUND($D32*($G$35/$F$35),0)</f>
        <v>#DIV/0!</v>
      </c>
      <c r="I32" s="98"/>
      <c r="J32" s="98"/>
    </row>
    <row r="33" spans="1:16" ht="15" thickBot="1" x14ac:dyDescent="0.4">
      <c r="A33" s="32"/>
      <c r="B33" s="54" t="s">
        <v>190</v>
      </c>
      <c r="C33" s="88"/>
      <c r="D33" s="89"/>
      <c r="E33" s="272" t="s">
        <v>37</v>
      </c>
      <c r="F33" s="56">
        <f>$C33*26*$D33</f>
        <v>0</v>
      </c>
      <c r="H33" s="97" t="e">
        <f>ROUND($D33*($G$35/$F$35),0)</f>
        <v>#DIV/0!</v>
      </c>
      <c r="I33" s="98"/>
      <c r="J33" s="98"/>
    </row>
    <row r="34" spans="1:16" ht="15" thickBot="1" x14ac:dyDescent="0.4">
      <c r="B34" s="54" t="s">
        <v>34</v>
      </c>
      <c r="C34" s="88"/>
      <c r="D34" s="89"/>
      <c r="E34" s="90" t="s">
        <v>37</v>
      </c>
      <c r="F34" s="92">
        <f>$C34*26*$D34</f>
        <v>0</v>
      </c>
      <c r="G34" s="71"/>
      <c r="H34" s="99" t="e">
        <f>ROUND($D34*(G35/F35),0)</f>
        <v>#DIV/0!</v>
      </c>
      <c r="I34" s="98"/>
      <c r="J34" s="98"/>
    </row>
    <row r="35" spans="1:16" x14ac:dyDescent="0.35">
      <c r="B35" s="32" t="s">
        <v>35</v>
      </c>
      <c r="C35" s="254"/>
      <c r="D35" s="94">
        <f>SUM(D32:D34)</f>
        <v>0</v>
      </c>
      <c r="F35" s="95">
        <f>SUM(F32:F34)</f>
        <v>0</v>
      </c>
      <c r="G35" s="96">
        <f>I8-I11+I14</f>
        <v>0</v>
      </c>
      <c r="H35" s="94" t="e">
        <f>SUM(H32:H34)</f>
        <v>#DIV/0!</v>
      </c>
      <c r="I35" s="100"/>
      <c r="J35" s="100"/>
      <c r="K35" s="225"/>
      <c r="L35" s="4"/>
      <c r="M35" s="4"/>
      <c r="N35" s="4"/>
    </row>
    <row r="36" spans="1:16" ht="3" customHeight="1" thickBot="1" x14ac:dyDescent="0.4">
      <c r="C36" s="254"/>
      <c r="H36" s="97"/>
      <c r="I36" s="100"/>
      <c r="J36" s="100"/>
      <c r="K36" s="225"/>
      <c r="L36" s="4"/>
      <c r="M36" s="4"/>
      <c r="N36" s="4"/>
    </row>
    <row r="37" spans="1:16" ht="15" thickBot="1" x14ac:dyDescent="0.4">
      <c r="A37" s="32" t="str">
        <f>year - 1 &amp; ":"</f>
        <v>2020:</v>
      </c>
      <c r="B37" s="54" t="s">
        <v>33</v>
      </c>
      <c r="C37" s="88"/>
      <c r="D37" s="89"/>
      <c r="E37" s="90" t="s">
        <v>37</v>
      </c>
      <c r="F37" s="56">
        <f>$C37*26*$D37</f>
        <v>0</v>
      </c>
      <c r="H37" s="97">
        <f>D37</f>
        <v>0</v>
      </c>
      <c r="I37" s="98"/>
      <c r="J37" s="98"/>
      <c r="K37" s="226"/>
      <c r="L37" s="4"/>
      <c r="M37" s="227"/>
      <c r="N37" s="4"/>
    </row>
    <row r="38" spans="1:16" ht="15" thickBot="1" x14ac:dyDescent="0.4">
      <c r="A38" s="32"/>
      <c r="B38" s="54" t="s">
        <v>190</v>
      </c>
      <c r="C38" s="88"/>
      <c r="D38" s="89"/>
      <c r="E38" s="246" t="s">
        <v>37</v>
      </c>
      <c r="F38" s="56">
        <f>$C38*26*$D38</f>
        <v>0</v>
      </c>
      <c r="H38" s="97">
        <f>D38</f>
        <v>0</v>
      </c>
      <c r="I38" s="98"/>
      <c r="J38" s="98"/>
      <c r="K38" s="226"/>
      <c r="L38" s="4"/>
      <c r="M38" s="227"/>
      <c r="N38" s="4"/>
    </row>
    <row r="39" spans="1:16" ht="15" thickBot="1" x14ac:dyDescent="0.4">
      <c r="B39" s="54" t="s">
        <v>34</v>
      </c>
      <c r="C39" s="88"/>
      <c r="D39" s="89"/>
      <c r="E39" s="90" t="s">
        <v>37</v>
      </c>
      <c r="F39" s="92">
        <f>$C39*26*$D39</f>
        <v>0</v>
      </c>
      <c r="G39" s="71"/>
      <c r="H39" s="99">
        <f>D39</f>
        <v>0</v>
      </c>
      <c r="I39" s="98"/>
      <c r="J39" s="98"/>
      <c r="K39" s="225"/>
      <c r="L39" s="4"/>
      <c r="M39" s="233"/>
      <c r="N39" s="4"/>
    </row>
    <row r="40" spans="1:16" x14ac:dyDescent="0.35">
      <c r="B40" s="32" t="s">
        <v>35</v>
      </c>
      <c r="C40" s="7"/>
      <c r="D40" s="94">
        <f>SUM(D37:D39)</f>
        <v>0</v>
      </c>
      <c r="F40" s="95">
        <f>SUM(F37:F39)</f>
        <v>0</v>
      </c>
      <c r="G40" s="95">
        <f>F40</f>
        <v>0</v>
      </c>
      <c r="H40" s="94">
        <f>SUM(H37:H39)</f>
        <v>0</v>
      </c>
      <c r="I40" s="100"/>
      <c r="J40" s="100"/>
      <c r="K40" s="225"/>
      <c r="L40" s="4"/>
      <c r="M40" s="233"/>
      <c r="N40" s="4"/>
    </row>
    <row r="41" spans="1:16" ht="3" customHeight="1" thickBot="1" x14ac:dyDescent="0.4">
      <c r="C41" s="7"/>
      <c r="H41" s="97"/>
      <c r="I41" s="100"/>
      <c r="J41" s="100"/>
      <c r="K41" s="225"/>
      <c r="L41" s="4"/>
      <c r="M41" s="4"/>
      <c r="N41" s="4"/>
    </row>
    <row r="42" spans="1:16" ht="15" thickBot="1" x14ac:dyDescent="0.4">
      <c r="A42" s="32" t="s">
        <v>38</v>
      </c>
      <c r="B42" s="54" t="s">
        <v>33</v>
      </c>
      <c r="C42" s="88"/>
      <c r="D42" s="89"/>
      <c r="E42" s="90" t="s">
        <v>37</v>
      </c>
      <c r="F42" s="56">
        <f>$C42*26*$D42</f>
        <v>0</v>
      </c>
      <c r="H42" s="97"/>
      <c r="I42" s="98"/>
      <c r="J42" s="98"/>
      <c r="K42" s="225"/>
      <c r="L42" s="4"/>
      <c r="M42" s="227"/>
      <c r="N42" s="227"/>
    </row>
    <row r="43" spans="1:16" ht="15" thickBot="1" x14ac:dyDescent="0.4">
      <c r="A43" s="32" t="str">
        <f>year &amp; ":"</f>
        <v>2021:</v>
      </c>
      <c r="B43" s="54" t="s">
        <v>190</v>
      </c>
      <c r="C43" s="88"/>
      <c r="D43" s="263"/>
      <c r="E43" s="220" t="s">
        <v>37</v>
      </c>
      <c r="F43" s="56">
        <f>$C43*26*$D43</f>
        <v>0</v>
      </c>
      <c r="H43" s="97"/>
      <c r="I43" s="98"/>
      <c r="J43" s="98"/>
      <c r="K43" s="228"/>
      <c r="L43" s="211"/>
      <c r="M43" s="211"/>
      <c r="N43" s="211"/>
      <c r="P43" s="205"/>
    </row>
    <row r="44" spans="1:16" ht="15" thickBot="1" x14ac:dyDescent="0.4">
      <c r="B44" s="54" t="s">
        <v>34</v>
      </c>
      <c r="C44" s="88"/>
      <c r="D44" s="89"/>
      <c r="E44" s="90" t="s">
        <v>37</v>
      </c>
      <c r="F44" s="92">
        <f>$C44*26*$D44</f>
        <v>0</v>
      </c>
      <c r="G44" s="71"/>
      <c r="H44" s="99"/>
      <c r="I44" s="98"/>
      <c r="J44" s="98"/>
      <c r="K44" s="229"/>
      <c r="L44" s="4"/>
      <c r="M44" s="227"/>
      <c r="N44" s="4"/>
      <c r="P44" s="205"/>
    </row>
    <row r="45" spans="1:16" x14ac:dyDescent="0.35">
      <c r="B45" s="32" t="s">
        <v>35</v>
      </c>
      <c r="D45" s="94">
        <f>SUM(D42:D44)</f>
        <v>0</v>
      </c>
      <c r="F45" s="95">
        <f>SUM(F42:F44)</f>
        <v>0</v>
      </c>
      <c r="H45" s="97"/>
      <c r="I45" s="65"/>
      <c r="J45" s="65"/>
    </row>
    <row r="46" spans="1:16" s="7" customFormat="1" x14ac:dyDescent="0.35">
      <c r="B46" s="9"/>
      <c r="D46" s="24"/>
      <c r="F46" s="25"/>
      <c r="H46" s="27"/>
      <c r="I46" s="12"/>
      <c r="J46" s="12"/>
    </row>
    <row r="47" spans="1:16" s="7" customFormat="1" ht="15" thickBot="1" x14ac:dyDescent="0.4">
      <c r="A47" s="9" t="str">
        <f>"3. The table below can be used to estimate the "&amp;year&amp;" Enrollee Contribution. Please see the 'Help' sheet for more details."</f>
        <v>3. The table below can be used to estimate the 2021 Enrollee Contribution. Please see the 'Help' sheet for more details.</v>
      </c>
      <c r="B47" s="9"/>
      <c r="D47" s="24"/>
      <c r="F47" s="25"/>
      <c r="H47" s="27"/>
      <c r="I47" s="266"/>
      <c r="J47" s="268"/>
    </row>
    <row r="48" spans="1:16" ht="15" thickBot="1" x14ac:dyDescent="0.4">
      <c r="A48" s="9"/>
      <c r="B48" s="8"/>
      <c r="C48" s="8"/>
      <c r="D48" s="8" t="s">
        <v>336</v>
      </c>
      <c r="E48" s="315" t="s">
        <v>334</v>
      </c>
      <c r="F48" s="25"/>
      <c r="G48" s="7"/>
      <c r="H48" s="27"/>
      <c r="I48" s="266"/>
      <c r="J48" s="268"/>
      <c r="K48" s="7"/>
      <c r="L48" s="7"/>
      <c r="M48" s="7"/>
    </row>
    <row r="49" spans="1:13" x14ac:dyDescent="0.35">
      <c r="A49" s="9"/>
      <c r="B49" s="9"/>
      <c r="C49" s="7"/>
      <c r="D49" s="24"/>
      <c r="E49" s="7"/>
      <c r="F49" s="25"/>
      <c r="G49" s="7"/>
      <c r="H49" s="27"/>
      <c r="I49" s="266"/>
      <c r="J49" s="268"/>
      <c r="K49" s="7"/>
      <c r="L49" s="7"/>
      <c r="M49" s="7"/>
    </row>
    <row r="50" spans="1:13" ht="15" thickBot="1" x14ac:dyDescent="0.4">
      <c r="A50" s="4"/>
      <c r="B50" s="9" t="str">
        <f>"For "&amp;year-1&amp;", the Government Contribution is the lesser of:"</f>
        <v>For 2020, the Government Contribution is the lesser of:</v>
      </c>
      <c r="C50" s="7"/>
      <c r="D50" s="24"/>
      <c r="E50" s="7"/>
      <c r="F50" s="9" t="str">
        <f>"For "&amp;year&amp;", the Government Contribution is the lesser of:"</f>
        <v>For 2021, the Government Contribution is the lesser of:</v>
      </c>
      <c r="G50" s="7"/>
      <c r="H50" s="4"/>
      <c r="I50" s="292"/>
      <c r="J50" s="293"/>
      <c r="K50" s="7"/>
      <c r="L50" s="7"/>
      <c r="M50" s="7"/>
    </row>
    <row r="51" spans="1:13" ht="15" thickBot="1" x14ac:dyDescent="0.4">
      <c r="A51" s="4"/>
      <c r="B51" s="287">
        <v>0.75</v>
      </c>
      <c r="C51" s="7" t="s">
        <v>206</v>
      </c>
      <c r="D51" s="24"/>
      <c r="E51" s="7"/>
      <c r="F51" s="287">
        <v>0.75</v>
      </c>
      <c r="G51" s="7" t="s">
        <v>206</v>
      </c>
      <c r="H51" s="4"/>
      <c r="I51" s="292"/>
      <c r="J51" s="293"/>
      <c r="K51" s="7"/>
      <c r="L51" s="7"/>
      <c r="M51" s="7"/>
    </row>
    <row r="52" spans="1:13" ht="15" thickBot="1" x14ac:dyDescent="0.4">
      <c r="A52" s="4"/>
      <c r="B52" s="288">
        <v>0.72</v>
      </c>
      <c r="C52" s="7" t="s">
        <v>207</v>
      </c>
      <c r="D52" s="24"/>
      <c r="E52" s="7"/>
      <c r="F52" s="288">
        <v>0.72</v>
      </c>
      <c r="G52" s="7" t="s">
        <v>207</v>
      </c>
      <c r="H52" s="4"/>
      <c r="I52" s="293"/>
      <c r="J52" s="293"/>
      <c r="K52" s="7"/>
      <c r="L52" s="7"/>
      <c r="M52" s="7"/>
    </row>
    <row r="53" spans="1:13" x14ac:dyDescent="0.35">
      <c r="A53" s="354"/>
      <c r="B53" s="210"/>
      <c r="C53" s="290"/>
      <c r="D53" s="210"/>
      <c r="E53" s="354"/>
      <c r="F53" s="210"/>
      <c r="G53" s="4"/>
      <c r="H53" s="4"/>
      <c r="I53" s="293"/>
      <c r="J53" s="293"/>
      <c r="K53" s="7"/>
      <c r="L53" s="7"/>
      <c r="M53" s="7"/>
    </row>
    <row r="54" spans="1:13" ht="15" customHeight="1" x14ac:dyDescent="0.35">
      <c r="A54" s="449"/>
      <c r="B54" s="450" t="s">
        <v>203</v>
      </c>
      <c r="C54" s="451" t="str">
        <f>"Est. "&amp;year&amp;" Max. Gov't Contrib."</f>
        <v>Est. 2021 Max. Gov't Contrib.</v>
      </c>
      <c r="D54" s="451" t="str">
        <f>"Est. "&amp;year&amp;" Gov't Contribution"</f>
        <v>Est. 2021 Gov't Contribution</v>
      </c>
      <c r="E54" s="451" t="str">
        <f>year-1&amp;" Enrollee Contribution"</f>
        <v>2020 Enrollee Contribution</v>
      </c>
      <c r="F54" s="451" t="str">
        <f>"Est. "&amp;year&amp;" Enrollee Contribution"</f>
        <v>Est. 2021 Enrollee Contribution</v>
      </c>
      <c r="G54" s="474" t="s">
        <v>198</v>
      </c>
      <c r="H54" s="291"/>
      <c r="I54" s="441" t="str">
        <f ca="1">"NOTE: The non-Postal and annuitant Government Contribution formula of 75% and 72% has been input in cells "&amp;MID(CELL("address", B51), 2, 1)&amp;RIGHT(CELL("address", B51),2)&amp;"-"&amp;MID(CELL("address", B52), 2, 1)&amp;RIGHT(CELL("address", B52),2)&amp;" and "&amp;MID(CELL("address", F51), 2, 1)&amp;RIGHT(CELL("address", F51),2)&amp;"-"&amp;MID(CELL("address", F52), 2, 1)&amp;RIGHT(CELL("address", F52),2)&amp;", but can be changed to make estimations for different contribution formulas."</f>
        <v>NOTE: The non-Postal and annuitant Government Contribution formula of 75% and 72% has been input in cells B51-B52 and F51-F52, but can be changed to make estimations for different contribution formulas.</v>
      </c>
      <c r="J54" s="442"/>
      <c r="K54" s="7"/>
      <c r="L54" s="7"/>
      <c r="M54" s="7"/>
    </row>
    <row r="55" spans="1:13" ht="15" thickBot="1" x14ac:dyDescent="0.4">
      <c r="A55" s="449"/>
      <c r="B55" s="450"/>
      <c r="C55" s="451"/>
      <c r="D55" s="451"/>
      <c r="E55" s="451"/>
      <c r="F55" s="451"/>
      <c r="G55" s="475"/>
      <c r="H55" s="291"/>
      <c r="I55" s="443"/>
      <c r="J55" s="444"/>
      <c r="K55" s="7"/>
      <c r="L55" s="7"/>
      <c r="M55" s="7"/>
    </row>
    <row r="56" spans="1:13" ht="15" thickBot="1" x14ac:dyDescent="0.4">
      <c r="A56" s="278" t="s">
        <v>33</v>
      </c>
      <c r="B56" s="289">
        <v>0</v>
      </c>
      <c r="C56" s="279">
        <f>IF($E$48="Bi-Weekly", ROUND(ROUND(GovtMaxS*$F$52,2)*(1+B56), 2), ROUND(ROUND(ROUND(GovtMaxS*$F$52,2)*(1+B56), 2)*26/12, 2))</f>
        <v>235.77</v>
      </c>
      <c r="D56" s="277">
        <f>IF($E$48="Bi-Weekly", ROUND(MIN(C56, ROUND(C42*1.04, 2)*$F$51),2), ROUND(MIN(C56, ROUND(ROUND(C42*1.04, 2)*(26/12),2)*$F$51),2))</f>
        <v>0</v>
      </c>
      <c r="E56" s="277">
        <f>IF($E$48="Bi-Weekly",ROUND(C37*1.04,2)-MIN(ROUND(GovtMaxS*$B$52,2),ROUND(ROUND(C37*1.04,2)*$B$51,2)),ROUND(ROUND(C37*1.04,2)*26/12,2)-MIN(ROUND(ROUND(GovtMaxS*$B$52,2)*26/12, 2),ROUND(ROUND(ROUND(C37*1.04,2)*26/12,2)*$B$51,2)))</f>
        <v>0</v>
      </c>
      <c r="F56" s="277">
        <f>IF($E$48="Bi-Weekly",ROUND(C42*1.04, 2)-D56,ROUND(ROUND(C42*1.04,2)*26/12,2)-D56)</f>
        <v>0</v>
      </c>
      <c r="G56" s="336" t="e">
        <f>F56/E56-1</f>
        <v>#DIV/0!</v>
      </c>
      <c r="H56" s="291"/>
      <c r="I56" s="443"/>
      <c r="J56" s="444"/>
      <c r="K56" s="7"/>
      <c r="L56" s="7"/>
      <c r="M56" s="7"/>
    </row>
    <row r="57" spans="1:13" ht="15" thickBot="1" x14ac:dyDescent="0.4">
      <c r="A57" s="278" t="s">
        <v>190</v>
      </c>
      <c r="B57" s="289">
        <v>0</v>
      </c>
      <c r="C57" s="279">
        <f>IF($E$48="Bi-Weekly", ROUND(ROUND(GovtMaxP*$F$52,2)*(1+B57), 2), ROUND(ROUND(ROUND(GovtMaxP*$F$52,2)*(1+B57), 2)*26/12, 2))</f>
        <v>504.12</v>
      </c>
      <c r="D57" s="277">
        <f>IF($E$48="Bi-Weekly", ROUND(MIN(C57, ROUND(C43*1.04, 2)*$F$51),2), ROUND(MIN(C57, ROUND(ROUND(C43*1.04, 2)*(26/12),2)*$F$51),2))</f>
        <v>0</v>
      </c>
      <c r="E57" s="277">
        <f>IF($E$48="Bi-Weekly",ROUND(C38*1.04,2)-MIN(ROUND(GovtMaxP*$B$52,2),ROUND(ROUND(C38*1.04,2)*$B$51,2)),ROUND(ROUND(C38*1.04,2)*26/12,2)-MIN(ROUND(ROUND(GovtMaxP*$B$52,2)*26/12, 2),ROUND(ROUND(ROUND(C38*1.04,2)*26/12,2)*$B$51,2)))</f>
        <v>0</v>
      </c>
      <c r="F57" s="277">
        <f>IF($E$48="Bi-Weekly",ROUND(C43*1.04, 2)-D57,ROUND(ROUND(C43*1.04,2)*26/12,2)-D57)</f>
        <v>0</v>
      </c>
      <c r="G57" s="336" t="e">
        <f>F57/E57-1</f>
        <v>#DIV/0!</v>
      </c>
      <c r="H57" s="291"/>
      <c r="I57" s="443"/>
      <c r="J57" s="444"/>
      <c r="K57" s="7"/>
      <c r="L57" s="7"/>
      <c r="M57" s="7"/>
    </row>
    <row r="58" spans="1:13" ht="15" thickBot="1" x14ac:dyDescent="0.4">
      <c r="A58" s="278" t="s">
        <v>34</v>
      </c>
      <c r="B58" s="289">
        <v>0</v>
      </c>
      <c r="C58" s="279">
        <f>IF($E$48="Bi-Weekly", ROUND(ROUND(GovtMaxF*$F$52,2)*(1+B58), 2), ROUND(ROUND(ROUND(GovtMaxF*$F$52,2)*(1+B58), 2)*26/12, 2))</f>
        <v>546.47</v>
      </c>
      <c r="D58" s="277">
        <f>IF($E$48="Bi-Weekly", ROUND(MIN(C58, ROUND(C44*1.04, 2)*$F$51),2), ROUND(MIN(C58, ROUND(ROUND(C44*1.04, 2)*(26/12),2)*$F$51),2))</f>
        <v>0</v>
      </c>
      <c r="E58" s="277">
        <f>IF($E$48="Bi-Weekly",ROUND(C39*1.04,2)-MIN(ROUND(GovtMaxF*$B$52,2),ROUND(ROUND(C39*1.04,2)*$B$51,2)),ROUND(ROUND(C39*1.04,2)*26/12,2)-MIN(ROUND(ROUND(GovtMaxF*$B$52,2)*26/12, 2),ROUND(ROUND(ROUND(C39*1.04,2)*26/12,2)*$B$51,2)))</f>
        <v>0</v>
      </c>
      <c r="F58" s="277">
        <f>IF($E$48="Bi-Weekly",ROUND(C44*1.04, 2)-D58,ROUND(ROUND(C44*1.04,2)*26/12,2)-D58)</f>
        <v>0</v>
      </c>
      <c r="G58" s="336" t="e">
        <f>F58/E58-1</f>
        <v>#DIV/0!</v>
      </c>
      <c r="H58" s="225"/>
      <c r="I58" s="443"/>
      <c r="J58" s="444"/>
      <c r="K58" s="7"/>
      <c r="L58" s="7"/>
      <c r="M58" s="7"/>
    </row>
    <row r="59" spans="1:13" x14ac:dyDescent="0.35">
      <c r="A59" s="278"/>
      <c r="B59" s="476" t="str">
        <f ca="1">"** The estimated increase to the maximum Government Contribution should be based on the assumption of the Government Contribution formula remaining the same year over year.  The impact of any change in the Government Contribution formula (cells "&amp;MID(CELL("address", B51), 2, 1)&amp;RIGHT(CELL("address", B51),2)&amp;"-"&amp;MID(CELL("address", B52), 2, 1)&amp;RIGHT(CELL("address", B52),2)&amp;" and "&amp;MID(CELL("address", F51), 2, 1)&amp;RIGHT(CELL("address", F51),2)&amp;"-"&amp;MID(CELL("address", F52), 2, 1)&amp;RIGHT(CELL("address", F52),2)&amp;")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B51-B52 and F51-F52) is already reflected in our calculations.</v>
      </c>
      <c r="C59" s="476"/>
      <c r="D59" s="476"/>
      <c r="E59" s="476"/>
      <c r="F59" s="476"/>
      <c r="G59" s="476"/>
      <c r="H59" s="225"/>
      <c r="I59" s="443"/>
      <c r="J59" s="444"/>
      <c r="K59" s="7"/>
      <c r="L59" s="7"/>
      <c r="M59" s="7"/>
    </row>
    <row r="60" spans="1:13" x14ac:dyDescent="0.35">
      <c r="A60" s="278"/>
      <c r="B60" s="476"/>
      <c r="C60" s="476"/>
      <c r="D60" s="476"/>
      <c r="E60" s="476"/>
      <c r="F60" s="476"/>
      <c r="G60" s="476"/>
      <c r="H60" s="225"/>
      <c r="I60" s="445"/>
      <c r="J60" s="446"/>
      <c r="K60" s="7"/>
      <c r="L60" s="7"/>
      <c r="M60" s="7"/>
    </row>
    <row r="61" spans="1:13" x14ac:dyDescent="0.35">
      <c r="A61" s="278"/>
      <c r="B61" s="476"/>
      <c r="C61" s="476"/>
      <c r="D61" s="476"/>
      <c r="E61" s="476"/>
      <c r="F61" s="476"/>
      <c r="G61" s="476"/>
      <c r="H61" s="225"/>
      <c r="I61" s="7"/>
      <c r="J61" s="7"/>
      <c r="K61" s="7"/>
      <c r="L61" s="7"/>
      <c r="M61" s="7"/>
    </row>
    <row r="62" spans="1:13" x14ac:dyDescent="0.35">
      <c r="A62" s="9" t="s">
        <v>209</v>
      </c>
      <c r="B62" s="7"/>
      <c r="C62" s="7"/>
      <c r="D62" s="7"/>
      <c r="E62" s="7"/>
      <c r="F62" s="7"/>
      <c r="G62" s="7"/>
      <c r="H62" s="7"/>
      <c r="I62" s="7"/>
      <c r="J62" s="7"/>
      <c r="K62" s="7"/>
      <c r="L62" s="7"/>
      <c r="M62" s="7"/>
    </row>
    <row r="63" spans="1:13" x14ac:dyDescent="0.35">
      <c r="A63" s="9" t="str">
        <f>"   (a) As of 12/31/" &amp; year-2 &amp; " what were the total claims paid to date for services incurred in each of the following years? "</f>
        <v xml:space="preserve">   (a) As of 12/31/2019 what were the total claims paid to date for services incurred in each of the following years? </v>
      </c>
    </row>
    <row r="64" spans="1:13" ht="15" thickBot="1" x14ac:dyDescent="0.4"/>
    <row r="65" spans="1:9" ht="15" thickBot="1" x14ac:dyDescent="0.4">
      <c r="B65" s="101">
        <f>year-4</f>
        <v>2017</v>
      </c>
      <c r="C65" s="82"/>
      <c r="D65" s="101">
        <f>year-3</f>
        <v>2018</v>
      </c>
      <c r="E65" s="82"/>
      <c r="F65" s="101">
        <f>year-2</f>
        <v>2019</v>
      </c>
      <c r="G65" s="82"/>
    </row>
    <row r="67" spans="1:9" x14ac:dyDescent="0.35">
      <c r="A67" s="9" t="str">
        <f>"   (b) As of 4/30/" &amp; year-1 &amp; " what were the total claims paid in " &amp;year-1&amp; " for services incurred in each of the following years?"</f>
        <v xml:space="preserve">   (b) As of 4/30/2020 what were the total claims paid in 2020 for services incurred in each of the following years?</v>
      </c>
    </row>
    <row r="68" spans="1:9" ht="15" thickBot="1" x14ac:dyDescent="0.4"/>
    <row r="69" spans="1:9" ht="15" thickBot="1" x14ac:dyDescent="0.4">
      <c r="B69" s="32">
        <f>year-4</f>
        <v>2017</v>
      </c>
      <c r="C69" s="82"/>
      <c r="D69" s="32">
        <f>year-3</f>
        <v>2018</v>
      </c>
      <c r="E69" s="82"/>
      <c r="F69" s="32">
        <f>year-2</f>
        <v>2019</v>
      </c>
      <c r="G69" s="82"/>
      <c r="H69" s="32">
        <f>year-1</f>
        <v>2020</v>
      </c>
      <c r="I69" s="82"/>
    </row>
    <row r="71" spans="1:9" x14ac:dyDescent="0.35">
      <c r="A71" s="32" t="s">
        <v>39</v>
      </c>
    </row>
    <row r="72" spans="1:9" ht="15" thickBot="1" x14ac:dyDescent="0.4"/>
    <row r="73" spans="1:9" ht="15" thickBot="1" x14ac:dyDescent="0.4">
      <c r="B73" s="32">
        <f>year-4</f>
        <v>2017</v>
      </c>
      <c r="C73" s="82"/>
      <c r="D73" s="32">
        <f>year-3</f>
        <v>2018</v>
      </c>
      <c r="E73" s="82"/>
      <c r="F73" s="32">
        <f>year-2</f>
        <v>2019</v>
      </c>
      <c r="G73" s="82"/>
    </row>
    <row r="74" spans="1:9" ht="15" thickBot="1" x14ac:dyDescent="0.4"/>
    <row r="75" spans="1:9" ht="15" thickBot="1" x14ac:dyDescent="0.4">
      <c r="A75" s="32" t="str">
        <f>"   (d) Claims Incurred but Unpaid for years prior to " &amp;year-4&amp; "?"</f>
        <v xml:space="preserve">   (d) Claims Incurred but Unpaid for years prior to 2017?</v>
      </c>
      <c r="E75" s="82"/>
    </row>
    <row r="76" spans="1:9" x14ac:dyDescent="0.35">
      <c r="A76" s="32"/>
      <c r="E76" s="245"/>
    </row>
    <row r="78" spans="1:9" x14ac:dyDescent="0.35">
      <c r="A78" s="32" t="str">
        <f>"         The portion of these claims that have been paid as of 12/31/" &amp;year-2&amp;":"</f>
        <v xml:space="preserve">         The portion of these claims that have been paid as of 12/31/2019:</v>
      </c>
      <c r="D78" s="102"/>
    </row>
    <row r="80" spans="1:9" x14ac:dyDescent="0.35">
      <c r="B80" s="32">
        <f>year-4</f>
        <v>2017</v>
      </c>
      <c r="C80" s="103" t="e">
        <f>C65/C73</f>
        <v>#DIV/0!</v>
      </c>
      <c r="D80" s="32">
        <f>year-3</f>
        <v>2018</v>
      </c>
      <c r="E80" s="103" t="e">
        <f>E65/E73</f>
        <v>#DIV/0!</v>
      </c>
      <c r="F80" s="32">
        <f>year-2</f>
        <v>2019</v>
      </c>
      <c r="G80" s="103" t="e">
        <f>G65/G73</f>
        <v>#DIV/0!</v>
      </c>
    </row>
    <row r="82" spans="1:9" x14ac:dyDescent="0.35">
      <c r="A82" s="32" t="str">
        <f>"         The portion of these claims that have been paid as of 4/30/" &amp;year-1&amp;":"</f>
        <v xml:space="preserve">         The portion of these claims that have been paid as of 4/30/2020:</v>
      </c>
      <c r="D82" s="102"/>
    </row>
    <row r="83" spans="1:9" x14ac:dyDescent="0.35">
      <c r="H83" s="102"/>
    </row>
    <row r="84" spans="1:9" x14ac:dyDescent="0.35">
      <c r="B84" s="32">
        <f>year-4</f>
        <v>2017</v>
      </c>
      <c r="C84" s="103" t="e">
        <f>(C$65+C$69)/C$73</f>
        <v>#DIV/0!</v>
      </c>
      <c r="D84" s="32">
        <f>year-3</f>
        <v>2018</v>
      </c>
      <c r="E84" s="103" t="e">
        <f>(E$65+E$69)/E$73</f>
        <v>#DIV/0!</v>
      </c>
      <c r="F84" s="32">
        <f>year-2</f>
        <v>2019</v>
      </c>
      <c r="G84" s="103" t="e">
        <f>(G$65+G$69)/G$73</f>
        <v>#DIV/0!</v>
      </c>
    </row>
    <row r="86" spans="1:9" x14ac:dyDescent="0.35">
      <c r="A86" s="464" t="s">
        <v>45</v>
      </c>
      <c r="B86" s="465"/>
      <c r="C86" s="465"/>
      <c r="D86" s="465"/>
      <c r="E86" s="465"/>
      <c r="F86" s="465"/>
      <c r="G86" s="465"/>
      <c r="H86" s="465"/>
      <c r="I86" s="466"/>
    </row>
    <row r="87" spans="1:9" x14ac:dyDescent="0.35">
      <c r="A87" s="464" t="str">
        <f>"Claims in item 10 for "&amp;year-2&amp;"-"&amp;year&amp;" are equal to the product of the prior year’s claims and the factors in items 5 through 9. "</f>
        <v xml:space="preserve">Claims in item 10 for 2019-2021 are equal to the product of the prior year’s claims and the factors in items 5 through 9. </v>
      </c>
      <c r="B87" s="465"/>
      <c r="C87" s="465"/>
      <c r="D87" s="465"/>
      <c r="E87" s="465"/>
      <c r="F87" s="465"/>
      <c r="G87" s="465"/>
      <c r="H87" s="465"/>
      <c r="I87" s="466"/>
    </row>
    <row r="88" spans="1:9" x14ac:dyDescent="0.35">
      <c r="A88" s="455" t="str">
        <f>"For "&amp;year-2&amp;", the claims in item 10 must agree with the ultimate claims stated in item 4."</f>
        <v>For 2019, the claims in item 10 must agree with the ultimate claims stated in item 4.</v>
      </c>
      <c r="B88" s="456"/>
      <c r="C88" s="456"/>
      <c r="D88" s="456"/>
      <c r="E88" s="456"/>
      <c r="F88" s="456"/>
      <c r="G88" s="456"/>
      <c r="H88" s="456"/>
      <c r="I88" s="457"/>
    </row>
    <row r="89" spans="1:9" hidden="1" x14ac:dyDescent="0.35">
      <c r="A89" s="455"/>
      <c r="B89" s="456"/>
      <c r="C89" s="456"/>
      <c r="D89" s="456"/>
      <c r="E89" s="456"/>
      <c r="F89" s="456"/>
      <c r="G89" s="456"/>
      <c r="H89" s="456"/>
      <c r="I89" s="457"/>
    </row>
    <row r="91" spans="1:9" x14ac:dyDescent="0.35">
      <c r="A91" s="32" t="s">
        <v>218</v>
      </c>
    </row>
    <row r="92" spans="1:9" ht="15" thickBot="1" x14ac:dyDescent="0.4">
      <c r="A92" s="54" t="s">
        <v>167</v>
      </c>
    </row>
    <row r="93" spans="1:9" ht="15" thickBot="1" x14ac:dyDescent="0.4">
      <c r="A93" s="111" t="s">
        <v>176</v>
      </c>
      <c r="B93" s="104"/>
      <c r="C93" s="111" t="s">
        <v>174</v>
      </c>
      <c r="D93" s="104"/>
      <c r="E93" s="54" t="s">
        <v>175</v>
      </c>
      <c r="F93" s="105" t="s">
        <v>40</v>
      </c>
    </row>
    <row r="95" spans="1:9" x14ac:dyDescent="0.35">
      <c r="A95" s="32" t="s">
        <v>41</v>
      </c>
    </row>
    <row r="97" spans="1:9" x14ac:dyDescent="0.35">
      <c r="B97" s="83" t="str">
        <f>year-3 &amp;" to " &amp;year-2</f>
        <v>2018 to 2019</v>
      </c>
      <c r="C97" s="65"/>
      <c r="D97" s="83" t="str">
        <f>year-2&amp; " to " &amp;year-1</f>
        <v>2019 to 2020</v>
      </c>
      <c r="E97" s="65"/>
      <c r="F97" s="467" t="str">
        <f>"Est. " &amp;year-1&amp; " to " &amp;year</f>
        <v>Est. 2020 to 2021</v>
      </c>
      <c r="G97" s="468"/>
      <c r="H97" s="65"/>
    </row>
    <row r="98" spans="1:9" x14ac:dyDescent="0.35">
      <c r="F98" s="83"/>
    </row>
    <row r="99" spans="1:9" x14ac:dyDescent="0.35">
      <c r="A99" s="32" t="s">
        <v>42</v>
      </c>
      <c r="B99" s="106" t="e">
        <f>(C27*H32+C28*H33+C29*H34)/(H27*C27+H28*C28+H29*C29)</f>
        <v>#DIV/0!</v>
      </c>
      <c r="C99" s="398"/>
      <c r="D99" s="106" t="e">
        <f>(C32*H37+C33*H38+C34*H39)/(C32*H32+C33*H33+C34*H34)</f>
        <v>#DIV/0!</v>
      </c>
      <c r="E99" s="398"/>
      <c r="F99" s="106" t="e">
        <f>(C37*D42+C38*D43+C39*D44)/(C37*D37+C38*D38+C39*D39)</f>
        <v>#DIV/0!</v>
      </c>
    </row>
    <row r="100" spans="1:9" ht="15" thickBot="1" x14ac:dyDescent="0.4">
      <c r="F100" s="7"/>
    </row>
    <row r="101" spans="1:9" ht="15" thickBot="1" x14ac:dyDescent="0.4">
      <c r="A101" s="32" t="s">
        <v>93</v>
      </c>
      <c r="B101" s="107">
        <v>1</v>
      </c>
      <c r="D101" s="107">
        <v>1</v>
      </c>
      <c r="F101" s="107">
        <v>1</v>
      </c>
    </row>
    <row r="102" spans="1:9" x14ac:dyDescent="0.35">
      <c r="A102" s="54" t="s">
        <v>43</v>
      </c>
    </row>
    <row r="104" spans="1:9" x14ac:dyDescent="0.35">
      <c r="A104" s="32" t="s">
        <v>44</v>
      </c>
      <c r="B104" s="108" t="e">
        <f>IF(F93&lt;&gt;"X",B$99*B$101,B99)</f>
        <v>#DIV/0!</v>
      </c>
      <c r="D104" s="108" t="e">
        <f>IF(F93&lt;&gt;"X",D$99*D$101,D99)</f>
        <v>#DIV/0!</v>
      </c>
      <c r="F104" s="108" t="e">
        <f>IF(F93&lt;&gt;"X",F$99*F$101,F99)</f>
        <v>#DIV/0!</v>
      </c>
    </row>
    <row r="106" spans="1:9" ht="15" thickBot="1" x14ac:dyDescent="0.4">
      <c r="A106" s="432" t="s">
        <v>47</v>
      </c>
      <c r="B106" s="433"/>
      <c r="C106" s="433"/>
      <c r="D106" s="433"/>
      <c r="E106" s="433"/>
      <c r="F106" s="433"/>
      <c r="G106" s="433"/>
      <c r="H106" s="433"/>
      <c r="I106" s="434"/>
    </row>
    <row r="107" spans="1:9" ht="15" thickTop="1" x14ac:dyDescent="0.35">
      <c r="A107" s="458" t="s">
        <v>211</v>
      </c>
      <c r="B107" s="459"/>
      <c r="C107" s="459"/>
      <c r="D107" s="459"/>
      <c r="E107" s="459"/>
      <c r="F107" s="459"/>
      <c r="G107" s="459"/>
      <c r="H107" s="459"/>
      <c r="I107" s="460"/>
    </row>
    <row r="108" spans="1:9" x14ac:dyDescent="0.35">
      <c r="A108" s="458" t="s">
        <v>191</v>
      </c>
      <c r="B108" s="459"/>
      <c r="C108" s="459"/>
      <c r="D108" s="459"/>
      <c r="E108" s="459"/>
      <c r="F108" s="459"/>
      <c r="G108" s="459"/>
      <c r="H108" s="459"/>
      <c r="I108" s="460"/>
    </row>
    <row r="109" spans="1:9" x14ac:dyDescent="0.35">
      <c r="A109" s="458" t="s">
        <v>94</v>
      </c>
      <c r="B109" s="459"/>
      <c r="C109" s="459"/>
      <c r="D109" s="459"/>
      <c r="E109" s="459"/>
      <c r="F109" s="459"/>
      <c r="G109" s="459"/>
      <c r="H109" s="459"/>
      <c r="I109" s="460"/>
    </row>
    <row r="110" spans="1:9" x14ac:dyDescent="0.35">
      <c r="A110" s="461" t="s">
        <v>46</v>
      </c>
      <c r="B110" s="462"/>
      <c r="C110" s="462"/>
      <c r="D110" s="462"/>
      <c r="E110" s="462"/>
      <c r="F110" s="462"/>
      <c r="G110" s="462"/>
      <c r="H110" s="462"/>
      <c r="I110" s="463"/>
    </row>
    <row r="112" spans="1:9" x14ac:dyDescent="0.35">
      <c r="A112" s="32" t="str">
        <f>"6. What was the change in benefit factor for " &amp;year-3&amp; " to " &amp;year-2&amp;", " &amp;year-2&amp;" to " &amp;year-1&amp; ", and your estimate for " &amp;year-1&amp;" to "&amp;year&amp;"?"</f>
        <v>6. What was the change in benefit factor for 2018 to 2019, 2019 to 2020, and your estimate for 2020 to 2021?</v>
      </c>
    </row>
    <row r="114" spans="1:9" x14ac:dyDescent="0.35">
      <c r="B114" s="452" t="s">
        <v>192</v>
      </c>
      <c r="C114" s="452"/>
      <c r="D114" s="452"/>
      <c r="E114" s="453" t="s">
        <v>147</v>
      </c>
      <c r="F114" s="453"/>
      <c r="G114" s="453"/>
      <c r="H114" s="453"/>
      <c r="I114" s="453"/>
    </row>
    <row r="115" spans="1:9" ht="15" thickBot="1" x14ac:dyDescent="0.4">
      <c r="B115" s="109" t="str">
        <f>year-3 &amp;" to " &amp;year-2</f>
        <v>2018 to 2019</v>
      </c>
      <c r="C115" s="109" t="str">
        <f>year-2 &amp;" to " &amp;year-1</f>
        <v>2019 to 2020</v>
      </c>
      <c r="D115" s="38" t="str">
        <f>year-1 &amp;" to " &amp;year&amp; "**"</f>
        <v>2020 to 2021**</v>
      </c>
    </row>
    <row r="116" spans="1:9" ht="15" thickBot="1" x14ac:dyDescent="0.4">
      <c r="A116" s="101" t="s">
        <v>33</v>
      </c>
      <c r="B116" s="110"/>
      <c r="C116" s="110"/>
      <c r="D116" s="251"/>
      <c r="H116" s="111"/>
      <c r="I116" s="112"/>
    </row>
    <row r="117" spans="1:9" ht="15" thickBot="1" x14ac:dyDescent="0.4">
      <c r="A117" s="219" t="s">
        <v>190</v>
      </c>
      <c r="B117" s="251"/>
      <c r="C117" s="251"/>
      <c r="D117" s="251"/>
      <c r="H117" s="111"/>
      <c r="I117" s="232"/>
    </row>
    <row r="118" spans="1:9" ht="15" thickBot="1" x14ac:dyDescent="0.4">
      <c r="A118" s="101" t="s">
        <v>34</v>
      </c>
      <c r="B118" s="110"/>
      <c r="C118" s="110"/>
      <c r="D118" s="251"/>
    </row>
    <row r="119" spans="1:9" ht="15" thickBot="1" x14ac:dyDescent="0.4">
      <c r="A119" s="101" t="s">
        <v>50</v>
      </c>
      <c r="B119" s="107">
        <v>0</v>
      </c>
      <c r="C119" s="107">
        <v>0</v>
      </c>
      <c r="D119" s="107">
        <v>0</v>
      </c>
    </row>
    <row r="120" spans="1:9" x14ac:dyDescent="0.35">
      <c r="A120" s="101" t="s">
        <v>49</v>
      </c>
      <c r="B120" s="255" t="e">
        <f>IF(I116=FALSE,((H32*(C27+B116))+(H33*(C28+B117))+(H34*(C29+B118)))/(H32*C27+H33*C28+H34*C29),0)</f>
        <v>#DIV/0!</v>
      </c>
      <c r="C120" s="255" t="e">
        <f>IF(I116=FALSE,((H37*(C32+C116))+(H38*(C33+C117))+(H39*(C34+C118)))/(H37*C32+H38*C33+H39*C34),0)</f>
        <v>#DIV/0!</v>
      </c>
      <c r="D120" s="243" t="e">
        <f>IF(I116=FALSE, ((D42*(C37+D116))+(D43*(C38+D117))+(D44*(C39+D118)))/(D42*C37+C39*D44+D43*C38), 0)</f>
        <v>#DIV/0!</v>
      </c>
    </row>
    <row r="121" spans="1:9" x14ac:dyDescent="0.35">
      <c r="A121" s="240" t="s">
        <v>169</v>
      </c>
    </row>
    <row r="122" spans="1:9" x14ac:dyDescent="0.35">
      <c r="A122" s="241" t="s">
        <v>332</v>
      </c>
    </row>
    <row r="123" spans="1:9" ht="15.75" customHeight="1" x14ac:dyDescent="0.35">
      <c r="A123" s="241"/>
    </row>
    <row r="125" spans="1:9" x14ac:dyDescent="0.35">
      <c r="A125" s="32" t="s">
        <v>212</v>
      </c>
      <c r="B125" s="102"/>
      <c r="D125" s="83" t="s">
        <v>51</v>
      </c>
      <c r="E125" s="454"/>
      <c r="F125" s="83" t="s">
        <v>52</v>
      </c>
      <c r="G125" s="454"/>
      <c r="H125" s="83" t="s">
        <v>53</v>
      </c>
    </row>
    <row r="126" spans="1:9" ht="15" thickBot="1" x14ac:dyDescent="0.4">
      <c r="D126" s="84" t="s">
        <v>54</v>
      </c>
      <c r="E126" s="454"/>
      <c r="F126" s="84" t="s">
        <v>54</v>
      </c>
      <c r="G126" s="454"/>
      <c r="H126" s="84" t="s">
        <v>54</v>
      </c>
    </row>
    <row r="127" spans="1:9" ht="15" thickBot="1" x14ac:dyDescent="0.4">
      <c r="B127" s="447" t="str">
        <f>year-3&amp;" to "  &amp;year-2</f>
        <v>2018 to 2019</v>
      </c>
      <c r="C127" s="447"/>
      <c r="D127" s="113">
        <f>F127*H127</f>
        <v>1</v>
      </c>
      <c r="E127" s="90" t="s">
        <v>55</v>
      </c>
      <c r="F127" s="114">
        <v>1</v>
      </c>
      <c r="G127" s="90" t="s">
        <v>40</v>
      </c>
      <c r="H127" s="114">
        <v>1</v>
      </c>
    </row>
    <row r="128" spans="1:9" ht="15" thickBot="1" x14ac:dyDescent="0.4">
      <c r="B128" s="447" t="str">
        <f>"Projected " &amp;year-2&amp; " to " &amp;year-1</f>
        <v>Projected 2019 to 2020</v>
      </c>
      <c r="C128" s="447"/>
      <c r="D128" s="113">
        <f>F128*H128</f>
        <v>1</v>
      </c>
      <c r="E128" s="90" t="s">
        <v>55</v>
      </c>
      <c r="F128" s="114">
        <v>1</v>
      </c>
      <c r="G128" s="90" t="s">
        <v>40</v>
      </c>
      <c r="H128" s="114">
        <v>1</v>
      </c>
    </row>
    <row r="129" spans="1:9" ht="15" thickBot="1" x14ac:dyDescent="0.4">
      <c r="B129" s="447" t="str">
        <f>"Projected " &amp;year-1&amp;" to " &amp;year</f>
        <v>Projected 2020 to 2021</v>
      </c>
      <c r="C129" s="447"/>
      <c r="D129" s="113">
        <f>F129*H129</f>
        <v>1</v>
      </c>
      <c r="E129" s="90" t="s">
        <v>55</v>
      </c>
      <c r="F129" s="114">
        <v>1</v>
      </c>
      <c r="G129" s="90" t="s">
        <v>40</v>
      </c>
      <c r="H129" s="114">
        <v>1</v>
      </c>
    </row>
    <row r="131" spans="1:9" ht="15" thickBot="1" x14ac:dyDescent="0.4">
      <c r="A131" s="432" t="s">
        <v>47</v>
      </c>
      <c r="B131" s="433"/>
      <c r="C131" s="433"/>
      <c r="D131" s="433"/>
      <c r="E131" s="433"/>
      <c r="F131" s="433"/>
      <c r="G131" s="433"/>
      <c r="H131" s="433"/>
      <c r="I131" s="434"/>
    </row>
    <row r="132" spans="1:9" ht="15" thickTop="1" x14ac:dyDescent="0.35">
      <c r="A132" s="435" t="s">
        <v>364</v>
      </c>
      <c r="B132" s="436"/>
      <c r="C132" s="436"/>
      <c r="D132" s="436"/>
      <c r="E132" s="436"/>
      <c r="F132" s="436"/>
      <c r="G132" s="436"/>
      <c r="H132" s="436"/>
      <c r="I132" s="437"/>
    </row>
    <row r="133" spans="1:9" x14ac:dyDescent="0.35">
      <c r="A133" s="438"/>
      <c r="B133" s="439"/>
      <c r="C133" s="439"/>
      <c r="D133" s="439"/>
      <c r="E133" s="439"/>
      <c r="F133" s="439"/>
      <c r="G133" s="439"/>
      <c r="H133" s="439"/>
      <c r="I133" s="440"/>
    </row>
    <row r="134" spans="1:9" x14ac:dyDescent="0.35">
      <c r="A134" s="7"/>
      <c r="B134" s="7"/>
      <c r="C134" s="7"/>
      <c r="D134" s="7"/>
      <c r="E134" s="29"/>
      <c r="F134" s="7"/>
      <c r="G134" s="7"/>
      <c r="H134" s="7"/>
      <c r="I134" s="7"/>
    </row>
    <row r="135" spans="1:9" x14ac:dyDescent="0.35">
      <c r="A135" s="9" t="s">
        <v>335</v>
      </c>
      <c r="B135" s="7"/>
      <c r="C135" s="7"/>
      <c r="D135" s="7"/>
      <c r="E135" s="7"/>
      <c r="F135" s="7"/>
      <c r="G135" s="7"/>
      <c r="H135" s="7"/>
      <c r="I135" s="7"/>
    </row>
    <row r="137" spans="1:9" ht="15" thickBot="1" x14ac:dyDescent="0.4">
      <c r="D137" s="115" t="s">
        <v>56</v>
      </c>
      <c r="E137" s="115" t="s">
        <v>48</v>
      </c>
      <c r="F137" s="115" t="s">
        <v>57</v>
      </c>
      <c r="G137" s="115" t="s">
        <v>58</v>
      </c>
      <c r="H137" s="115" t="s">
        <v>59</v>
      </c>
      <c r="I137" s="115" t="s">
        <v>60</v>
      </c>
    </row>
    <row r="138" spans="1:9" ht="15" thickBot="1" x14ac:dyDescent="0.4">
      <c r="B138" s="447" t="str">
        <f>year-3&amp;" to "  &amp;year-2</f>
        <v>2018 to 2019</v>
      </c>
      <c r="C138" s="447"/>
      <c r="D138" s="106" t="e">
        <f>(1+(($F138-1)*$H138)+(($G138-1)*$I138))/($F138+$G138-1)</f>
        <v>#DIV/0!</v>
      </c>
      <c r="E138" s="106" t="e">
        <f>B104</f>
        <v>#DIV/0!</v>
      </c>
      <c r="F138" s="34" t="e">
        <f>$E138-$G138+1</f>
        <v>#DIV/0!</v>
      </c>
      <c r="G138" s="107">
        <v>1</v>
      </c>
      <c r="H138" s="107">
        <v>1</v>
      </c>
      <c r="I138" s="107">
        <v>1</v>
      </c>
    </row>
    <row r="139" spans="1:9" ht="15" thickBot="1" x14ac:dyDescent="0.4">
      <c r="B139" s="447" t="str">
        <f>"Projected " &amp;year-2&amp; " to " &amp;year-1</f>
        <v>Projected 2019 to 2020</v>
      </c>
      <c r="C139" s="447"/>
      <c r="D139" s="106" t="e">
        <f>(1+(($F139-1)*$H139)+(($G139-1)*$I139))/($F139+$G139-1)</f>
        <v>#DIV/0!</v>
      </c>
      <c r="E139" s="106" t="e">
        <f>D104</f>
        <v>#DIV/0!</v>
      </c>
      <c r="F139" s="34" t="e">
        <f>$E139-$G139+1</f>
        <v>#DIV/0!</v>
      </c>
      <c r="G139" s="107">
        <v>1</v>
      </c>
      <c r="H139" s="107">
        <v>1</v>
      </c>
      <c r="I139" s="107">
        <v>1</v>
      </c>
    </row>
    <row r="140" spans="1:9" ht="15" thickBot="1" x14ac:dyDescent="0.4">
      <c r="B140" s="447" t="str">
        <f>"Projected " &amp;year-1&amp;" to " &amp;year</f>
        <v>Projected 2020 to 2021</v>
      </c>
      <c r="C140" s="447"/>
      <c r="D140" s="106" t="e">
        <f>(1+(($F140-1)*$H140)+(($G140-1)*$I140))/($F140+$G140-1)</f>
        <v>#DIV/0!</v>
      </c>
      <c r="E140" s="106" t="e">
        <f>F104</f>
        <v>#DIV/0!</v>
      </c>
      <c r="F140" s="34" t="e">
        <f>$E140-$G140+1</f>
        <v>#DIV/0!</v>
      </c>
      <c r="G140" s="107">
        <v>1</v>
      </c>
      <c r="H140" s="107">
        <v>1</v>
      </c>
      <c r="I140" s="107">
        <v>1</v>
      </c>
    </row>
    <row r="141" spans="1:9" x14ac:dyDescent="0.35">
      <c r="A141" s="116"/>
      <c r="B141" s="116"/>
      <c r="C141" s="116"/>
      <c r="D141" s="116"/>
    </row>
    <row r="143" spans="1:9" x14ac:dyDescent="0.35">
      <c r="A143" s="9" t="s">
        <v>213</v>
      </c>
    </row>
    <row r="144" spans="1:9" ht="15" thickBot="1" x14ac:dyDescent="0.4"/>
    <row r="145" spans="1:9" ht="15" thickBot="1" x14ac:dyDescent="0.4">
      <c r="D145" s="115" t="s">
        <v>61</v>
      </c>
      <c r="E145" s="117"/>
      <c r="F145" s="117"/>
      <c r="G145" s="117"/>
    </row>
    <row r="146" spans="1:9" ht="15" thickBot="1" x14ac:dyDescent="0.4">
      <c r="B146" s="447" t="str">
        <f>year-3&amp;" to "  &amp;year-2</f>
        <v>2018 to 2019</v>
      </c>
      <c r="C146" s="447"/>
      <c r="D146" s="106">
        <f>E146*F146*G146</f>
        <v>1</v>
      </c>
      <c r="E146" s="335">
        <v>1</v>
      </c>
      <c r="F146" s="335">
        <v>1</v>
      </c>
      <c r="G146" s="335">
        <v>1</v>
      </c>
    </row>
    <row r="147" spans="1:9" ht="15" thickBot="1" x14ac:dyDescent="0.4">
      <c r="B147" s="447" t="str">
        <f>"Projected " &amp;year-2&amp; " to " &amp;year-1</f>
        <v>Projected 2019 to 2020</v>
      </c>
      <c r="C147" s="447"/>
      <c r="D147" s="106">
        <f>E147*F147*G147</f>
        <v>1</v>
      </c>
      <c r="E147" s="335">
        <v>1</v>
      </c>
      <c r="F147" s="335">
        <v>1</v>
      </c>
      <c r="G147" s="335">
        <v>1</v>
      </c>
    </row>
    <row r="148" spans="1:9" ht="15" thickBot="1" x14ac:dyDescent="0.4">
      <c r="B148" s="447" t="str">
        <f>"Projected " &amp;year-1&amp;" to " &amp;year</f>
        <v>Projected 2020 to 2021</v>
      </c>
      <c r="C148" s="447"/>
      <c r="D148" s="106">
        <f>E148*F148*G148</f>
        <v>1</v>
      </c>
      <c r="E148" s="335">
        <v>1</v>
      </c>
      <c r="F148" s="335">
        <v>1</v>
      </c>
      <c r="G148" s="335">
        <v>1</v>
      </c>
    </row>
    <row r="149" spans="1:9" x14ac:dyDescent="0.35">
      <c r="A149" s="116"/>
    </row>
    <row r="151" spans="1:9" x14ac:dyDescent="0.35">
      <c r="A151" s="32" t="s">
        <v>214</v>
      </c>
    </row>
    <row r="152" spans="1:9" ht="15" thickBot="1" x14ac:dyDescent="0.4"/>
    <row r="153" spans="1:9" ht="15" thickBot="1" x14ac:dyDescent="0.4">
      <c r="B153" s="448" t="s">
        <v>62</v>
      </c>
      <c r="C153" s="448"/>
      <c r="D153" s="448"/>
      <c r="E153" s="448"/>
      <c r="F153" s="448"/>
      <c r="G153" s="83"/>
      <c r="H153" s="44" t="s">
        <v>144</v>
      </c>
      <c r="I153" s="45"/>
    </row>
    <row r="154" spans="1:9" x14ac:dyDescent="0.35">
      <c r="B154" s="115" t="s">
        <v>28</v>
      </c>
      <c r="C154" s="115" t="s">
        <v>63</v>
      </c>
      <c r="D154" s="115" t="s">
        <v>51</v>
      </c>
      <c r="E154" s="115" t="s">
        <v>56</v>
      </c>
      <c r="F154" s="115" t="s">
        <v>64</v>
      </c>
      <c r="G154" s="115" t="s">
        <v>65</v>
      </c>
      <c r="H154" s="46" t="s">
        <v>215</v>
      </c>
      <c r="I154" s="47"/>
    </row>
    <row r="155" spans="1:9" ht="15" thickBot="1" x14ac:dyDescent="0.4">
      <c r="A155" s="101" t="str">
        <f>year-3&amp;"   "</f>
        <v xml:space="preserve">2018   </v>
      </c>
      <c r="G155" s="118">
        <f>E73</f>
        <v>0</v>
      </c>
      <c r="H155" s="49" t="s">
        <v>145</v>
      </c>
      <c r="I155" s="50"/>
    </row>
    <row r="156" spans="1:9" x14ac:dyDescent="0.35">
      <c r="A156" s="101" t="str">
        <f>year-2&amp;" x"</f>
        <v>2019 x</v>
      </c>
      <c r="B156" s="106" t="e">
        <f>B104</f>
        <v>#DIV/0!</v>
      </c>
      <c r="C156" s="106" t="e">
        <f>IF(B119=0,B120,B119)</f>
        <v>#DIV/0!</v>
      </c>
      <c r="D156" s="106" t="e">
        <f>IF(ABS((G73/(B156*C156*G155*F156*E156))-D127)&gt;0.012,0,G73/(B156*C156*G155*F156*E156))</f>
        <v>#DIV/0!</v>
      </c>
      <c r="E156" s="106" t="e">
        <f>D138</f>
        <v>#DIV/0!</v>
      </c>
      <c r="F156" s="106">
        <f>D146</f>
        <v>1</v>
      </c>
      <c r="G156" s="118" t="e">
        <f>G155*B156*C156*D156*E156*F156</f>
        <v>#DIV/0!</v>
      </c>
    </row>
    <row r="157" spans="1:9" x14ac:dyDescent="0.35">
      <c r="A157" s="101" t="str">
        <f>year-1&amp;" x"</f>
        <v>2020 x</v>
      </c>
      <c r="B157" s="106" t="e">
        <f>D104</f>
        <v>#DIV/0!</v>
      </c>
      <c r="C157" s="106" t="e">
        <f>IF(C119=0,C120,C119)</f>
        <v>#DIV/0!</v>
      </c>
      <c r="D157" s="106">
        <f>D128</f>
        <v>1</v>
      </c>
      <c r="E157" s="106" t="e">
        <f>D139</f>
        <v>#DIV/0!</v>
      </c>
      <c r="F157" s="106">
        <f>D147</f>
        <v>1</v>
      </c>
      <c r="G157" s="118" t="e">
        <f>G156*B157*C157*D157*E157*F157</f>
        <v>#DIV/0!</v>
      </c>
    </row>
    <row r="158" spans="1:9" x14ac:dyDescent="0.35">
      <c r="A158" s="101" t="str">
        <f>year&amp;" x"</f>
        <v>2021 x</v>
      </c>
      <c r="B158" s="106" t="e">
        <f>F104</f>
        <v>#DIV/0!</v>
      </c>
      <c r="C158" s="106" t="e">
        <f>IF(D119=0,D120,D119)</f>
        <v>#DIV/0!</v>
      </c>
      <c r="D158" s="106">
        <f>D129</f>
        <v>1</v>
      </c>
      <c r="E158" s="106" t="e">
        <f>D140</f>
        <v>#DIV/0!</v>
      </c>
      <c r="F158" s="106">
        <f>D148</f>
        <v>1</v>
      </c>
      <c r="G158" s="118" t="e">
        <f>G157*B158*C158*D158*E158*F158</f>
        <v>#DIV/0!</v>
      </c>
    </row>
    <row r="160" spans="1:9" x14ac:dyDescent="0.35">
      <c r="A160" s="32" t="str">
        <f>"11. December 31, " &amp;year-2&amp; " Special Reserve"</f>
        <v>11. December 31, 2019 Special Reserve</v>
      </c>
    </row>
    <row r="161" spans="1:6" x14ac:dyDescent="0.35">
      <c r="A161" s="32" t="str">
        <f>"   (a) " &amp;year-4&amp;", " &amp;year-3&amp;" and " &amp;year-2&amp;" Claims Paid Through 12/31/" &amp;year-2</f>
        <v xml:space="preserve">   (a) 2017, 2018 and 2019 Claims Paid Through 12/31/2019</v>
      </c>
      <c r="F161" s="118">
        <f>C65+E65+G65</f>
        <v>0</v>
      </c>
    </row>
    <row r="162" spans="1:6" x14ac:dyDescent="0.35">
      <c r="A162" s="32" t="str">
        <f>"   (b) " &amp;year-4&amp;", " &amp;year-3&amp;" and " &amp;year-2&amp;" Estimated Incurred Claims"</f>
        <v xml:space="preserve">   (b) 2017, 2018 and 2019 Estimated Incurred Claims</v>
      </c>
      <c r="F162" s="118">
        <f>C73+E73+G73</f>
        <v>0</v>
      </c>
    </row>
    <row r="163" spans="1:6" ht="15" thickBot="1" x14ac:dyDescent="0.4">
      <c r="A163" s="32" t="s">
        <v>66</v>
      </c>
      <c r="F163" s="118">
        <f>F162-F161</f>
        <v>0</v>
      </c>
    </row>
    <row r="164" spans="1:6" ht="15" thickBot="1" x14ac:dyDescent="0.4">
      <c r="A164" s="32" t="str">
        <f>"   (d) 12/31/" &amp;year-2&amp;" Accounting Stmt Accrued Claims Reserve"</f>
        <v xml:space="preserve">   (d) 12/31/2019 Accounting Stmt Accrued Claims Reserve</v>
      </c>
      <c r="F164" s="82"/>
    </row>
    <row r="165" spans="1:6" ht="15" thickBot="1" x14ac:dyDescent="0.4">
      <c r="A165" s="32" t="str">
        <f>"   (e) 12/31/" &amp;year-2&amp;" Accounting Stmt Accrued Expense Reserve"</f>
        <v xml:space="preserve">   (e) 12/31/2019 Accounting Stmt Accrued Expense Reserve</v>
      </c>
      <c r="F165" s="82"/>
    </row>
    <row r="166" spans="1:6" ht="15" thickBot="1" x14ac:dyDescent="0.4">
      <c r="A166" s="32" t="str">
        <f>"   (f) 12/31/" &amp;year-2&amp;" Accounting Stmt Special Reserve"</f>
        <v xml:space="preserve">   (f) 12/31/2019 Accounting Stmt Special Reserve</v>
      </c>
      <c r="F166" s="82"/>
    </row>
    <row r="167" spans="1:6" x14ac:dyDescent="0.35">
      <c r="A167" s="32" t="s">
        <v>67</v>
      </c>
      <c r="F167" s="118">
        <f>F164+F165+F166-F163-F165</f>
        <v>0</v>
      </c>
    </row>
    <row r="169" spans="1:6" x14ac:dyDescent="0.35">
      <c r="A169" s="32" t="s">
        <v>216</v>
      </c>
    </row>
    <row r="170" spans="1:6" x14ac:dyDescent="0.35">
      <c r="A170" s="32" t="str">
        <f>"   (a) 12/31/" &amp;year-2&amp;" Accrued Claims Reserve"</f>
        <v xml:space="preserve">   (a) 12/31/2019 Accrued Claims Reserve</v>
      </c>
      <c r="F170" s="118">
        <f>F163</f>
        <v>0</v>
      </c>
    </row>
    <row r="171" spans="1:6" x14ac:dyDescent="0.35">
      <c r="A171" s="32" t="str">
        <f>"   (b) 12/31/"&amp;year-1&amp;" Est. Accrued Claims Reserve ("&amp;year-2003&amp;" - "&amp;year-2001&amp;" Ultimate Claims Against Run Out)"</f>
        <v xml:space="preserve">   (b) 12/31/2020 Est. Accrued Claims Reserve (18 - 20 Ultimate Claims Against Run Out)</v>
      </c>
      <c r="F171" s="118" t="e">
        <f>G155*(1-(($C$65-$E$75)/$C$73))+G156*(1-($E$65/$E$73))+G157*(1-($G$65/$G$73))</f>
        <v>#DIV/0!</v>
      </c>
    </row>
    <row r="172" spans="1:6" x14ac:dyDescent="0.35">
      <c r="A172" s="32" t="str">
        <f>"   (c) 12/31/" &amp;year&amp;" Est. Accrued Claims Reserve (" &amp;year-2002&amp; " - " &amp;year-2000&amp; " Ultimate Claims Against Run Out)"</f>
        <v xml:space="preserve">   (c) 12/31/2021 Est. Accrued Claims Reserve (19 - 21 Ultimate Claims Against Run Out)</v>
      </c>
      <c r="F172" s="118" t="e">
        <f>G156*(1-(($C$65-$E$75)/$C$73))+G157*(1-($E$65/$E$73))+G158*(1-($G$65/$G$73))</f>
        <v>#DIV/0!</v>
      </c>
    </row>
    <row r="174" spans="1:6" x14ac:dyDescent="0.35">
      <c r="A174" s="32" t="s">
        <v>217</v>
      </c>
    </row>
    <row r="175" spans="1:6" x14ac:dyDescent="0.35">
      <c r="A175" s="32" t="str">
        <f>"   (a)"</f>
        <v xml:space="preserve">   (a)</v>
      </c>
      <c r="C175" s="83" t="s">
        <v>71</v>
      </c>
      <c r="E175" s="83" t="s">
        <v>61</v>
      </c>
    </row>
    <row r="176" spans="1:6" x14ac:dyDescent="0.35">
      <c r="B176" s="115" t="s">
        <v>68</v>
      </c>
      <c r="C176" s="115" t="s">
        <v>69</v>
      </c>
      <c r="E176" s="115" t="s">
        <v>70</v>
      </c>
    </row>
    <row r="177" spans="1:19" ht="15" thickBot="1" x14ac:dyDescent="0.4"/>
    <row r="178" spans="1:19" ht="15" thickBot="1" x14ac:dyDescent="0.4">
      <c r="B178" s="83">
        <f>year-2</f>
        <v>2019</v>
      </c>
      <c r="C178" s="82"/>
      <c r="E178" s="82"/>
    </row>
    <row r="179" spans="1:19" ht="15" thickBot="1" x14ac:dyDescent="0.4">
      <c r="B179" s="83">
        <f>year-1</f>
        <v>2020</v>
      </c>
      <c r="C179" s="82"/>
      <c r="E179" s="82"/>
    </row>
    <row r="180" spans="1:19" ht="15" thickBot="1" x14ac:dyDescent="0.4">
      <c r="B180" s="83">
        <f>year</f>
        <v>2021</v>
      </c>
      <c r="C180" s="82"/>
      <c r="E180" s="82"/>
    </row>
    <row r="182" spans="1:19" x14ac:dyDescent="0.35">
      <c r="A182" s="32" t="str">
        <f>"   (b)"</f>
        <v xml:space="preserve">   (b)</v>
      </c>
      <c r="C182" s="83" t="s">
        <v>71</v>
      </c>
      <c r="E182" s="83" t="s">
        <v>71</v>
      </c>
    </row>
    <row r="183" spans="1:19" x14ac:dyDescent="0.35">
      <c r="B183" s="115" t="s">
        <v>68</v>
      </c>
      <c r="C183" s="115" t="s">
        <v>72</v>
      </c>
      <c r="E183" s="115" t="s">
        <v>73</v>
      </c>
    </row>
    <row r="185" spans="1:19" x14ac:dyDescent="0.35">
      <c r="B185" s="83">
        <f>year-2</f>
        <v>2019</v>
      </c>
      <c r="C185" s="118" t="e">
        <f>C178/(G80+(G155/G156)-G80*(G155/G156))</f>
        <v>#DIV/0!</v>
      </c>
      <c r="E185" s="118">
        <f>F165</f>
        <v>0</v>
      </c>
    </row>
    <row r="186" spans="1:19" x14ac:dyDescent="0.35">
      <c r="B186" s="83">
        <f>year-1</f>
        <v>2020</v>
      </c>
      <c r="C186" s="118" t="e">
        <f>(C179-C185*(1-(G65/G73)))/(G65/G73)</f>
        <v>#DIV/0!</v>
      </c>
      <c r="E186" s="118" t="e">
        <f>C186*(1-(G65/G73))</f>
        <v>#DIV/0!</v>
      </c>
    </row>
    <row r="187" spans="1:19" x14ac:dyDescent="0.35">
      <c r="B187" s="83">
        <f>year</f>
        <v>2021</v>
      </c>
      <c r="C187" s="118" t="e">
        <f>(C180-C186*(1-(G65/G73)))/(G65/G73)</f>
        <v>#DIV/0!</v>
      </c>
      <c r="E187" s="118" t="e">
        <f>C187*(1-(G65/G73))</f>
        <v>#DIV/0!</v>
      </c>
    </row>
    <row r="188" spans="1:19" ht="15" thickBot="1" x14ac:dyDescent="0.4"/>
    <row r="189" spans="1:19" ht="15" thickBot="1" x14ac:dyDescent="0.4">
      <c r="A189" s="32" t="str">
        <f>"   (c) " &amp;year&amp; " Estimate of Service Charge (to be negotiated with Office of Insurance Operations)"</f>
        <v xml:space="preserve">   (c) 2021 Estimate of Service Charge (to be negotiated with Office of Insurance Operations)</v>
      </c>
      <c r="F189" s="119"/>
    </row>
    <row r="190" spans="1:19" ht="15" thickBot="1" x14ac:dyDescent="0.4">
      <c r="A190" s="32" t="str">
        <f>"   (d) " &amp;year&amp; " Estimated Cost of Facility Capital "</f>
        <v xml:space="preserve">   (d) 2021 Estimated Cost of Facility Capital </v>
      </c>
      <c r="F190" s="119"/>
    </row>
    <row r="191" spans="1:19" x14ac:dyDescent="0.35">
      <c r="S191" s="4"/>
    </row>
    <row r="192" spans="1:19" s="4" customFormat="1" ht="13" x14ac:dyDescent="0.3">
      <c r="A192" s="241" t="s">
        <v>197</v>
      </c>
      <c r="B192" s="241"/>
      <c r="C192" s="241"/>
      <c r="D192" s="241"/>
      <c r="E192" s="241"/>
      <c r="F192" s="241"/>
      <c r="G192" s="241"/>
      <c r="H192" s="241"/>
      <c r="I192" s="241"/>
      <c r="J192" s="241"/>
      <c r="K192" s="241"/>
      <c r="L192" s="241"/>
      <c r="M192" s="241"/>
      <c r="N192" s="241"/>
      <c r="O192" s="241"/>
    </row>
    <row r="193" spans="1:19" s="4" customFormat="1" x14ac:dyDescent="0.35">
      <c r="A193" s="241" t="s">
        <v>196</v>
      </c>
      <c r="B193" s="241"/>
      <c r="C193" s="241"/>
      <c r="D193" s="241"/>
      <c r="E193" s="241"/>
      <c r="F193" s="241"/>
      <c r="G193" s="241"/>
      <c r="H193" s="241"/>
      <c r="I193" s="241"/>
      <c r="J193" s="241"/>
      <c r="K193" s="241"/>
      <c r="L193" s="241"/>
      <c r="M193" s="241"/>
      <c r="N193" s="241"/>
      <c r="O193" s="241"/>
      <c r="S193" s="54"/>
    </row>
    <row r="194" spans="1:19" ht="12.75" customHeight="1" x14ac:dyDescent="0.35">
      <c r="S194" s="4"/>
    </row>
    <row r="196" spans="1:19" x14ac:dyDescent="0.35">
      <c r="A196" s="32" t="str">
        <f>"14. " &amp;year-1&amp; " Contingency Reserve Payment, Interest, Investment Income and Reserve Calculations"</f>
        <v>14. 2020 Contingency Reserve Payment, Interest, Investment Income and Reserve Calculations</v>
      </c>
    </row>
    <row r="197" spans="1:19" ht="15" thickBot="1" x14ac:dyDescent="0.4">
      <c r="A197" s="32" t="str">
        <f>"   (a) Contingency Reserve"</f>
        <v xml:space="preserve">   (a) Contingency Reserve</v>
      </c>
    </row>
    <row r="198" spans="1:19" ht="15" thickBot="1" x14ac:dyDescent="0.4">
      <c r="A198" s="32" t="str">
        <f>"      (1) Contingency Reserve Balance as of 12/31/" &amp;year-2</f>
        <v xml:space="preserve">      (1) Contingency Reserve Balance as of 12/31/2019</v>
      </c>
      <c r="E198" s="82"/>
    </row>
    <row r="200" spans="1:19" x14ac:dyDescent="0.35">
      <c r="A200" s="7" t="s">
        <v>199</v>
      </c>
    </row>
    <row r="201" spans="1:19" x14ac:dyDescent="0.35">
      <c r="A201" s="7" t="s">
        <v>200</v>
      </c>
    </row>
    <row r="202" spans="1:19" x14ac:dyDescent="0.35">
      <c r="A202" s="7" t="s">
        <v>329</v>
      </c>
    </row>
    <row r="203" spans="1:19" ht="15" thickBot="1" x14ac:dyDescent="0.4"/>
    <row r="204" spans="1:19" ht="15" thickBot="1" x14ac:dyDescent="0.4">
      <c r="A204" s="32" t="str">
        <f>"          (a) 1st Expected Non-Standard CR Payment made in " &amp;year-1</f>
        <v xml:space="preserve">          (a) 1st Expected Non-Standard CR Payment made in 2020</v>
      </c>
      <c r="E204" s="82">
        <v>0</v>
      </c>
    </row>
    <row r="205" spans="1:19" ht="15" thickBot="1" x14ac:dyDescent="0.4">
      <c r="A205" s="32" t="str">
        <f>"          (b) Month of 1st Non-Standard CR Payment in " &amp;year-1</f>
        <v xml:space="preserve">          (b) Month of 1st Non-Standard CR Payment in 2020</v>
      </c>
      <c r="E205" s="120" t="s">
        <v>75</v>
      </c>
    </row>
    <row r="206" spans="1:19" ht="15" thickBot="1" x14ac:dyDescent="0.4">
      <c r="A206" s="32" t="str">
        <f>"          (c) 2nd Expected Non-Standard CR Payment made in " &amp;year-1</f>
        <v xml:space="preserve">          (c) 2nd Expected Non-Standard CR Payment made in 2020</v>
      </c>
      <c r="E206" s="82">
        <v>0</v>
      </c>
    </row>
    <row r="207" spans="1:19" ht="15" thickBot="1" x14ac:dyDescent="0.4">
      <c r="A207" s="32" t="str">
        <f>"          (d) Month of 2nd Non-Standard CR Payment in " &amp;year-1</f>
        <v xml:space="preserve">          (d) Month of 2nd Non-Standard CR Payment in 2020</v>
      </c>
      <c r="E207" s="120" t="s">
        <v>75</v>
      </c>
    </row>
    <row r="208" spans="1:19" ht="15" thickBot="1" x14ac:dyDescent="0.4">
      <c r="A208" s="32" t="str">
        <f>"          (e) 3rd Expected Non-Standard CR Payment made in " &amp;year-1</f>
        <v xml:space="preserve">          (e) 3rd Expected Non-Standard CR Payment made in 2020</v>
      </c>
      <c r="E208" s="82">
        <v>0</v>
      </c>
    </row>
    <row r="209" spans="1:6" ht="15" thickBot="1" x14ac:dyDescent="0.4">
      <c r="A209" s="32" t="str">
        <f>"          (f) Month of 3rd Non-Standard CR Payment in " &amp;year-1</f>
        <v xml:space="preserve">          (f) Month of 3rd Non-Standard CR Payment in 2020</v>
      </c>
      <c r="E209" s="120" t="s">
        <v>75</v>
      </c>
    </row>
    <row r="210" spans="1:6" ht="15" thickBot="1" x14ac:dyDescent="0.4">
      <c r="A210" s="32" t="str">
        <f>"          (g) 1st Expected Non-Standard CR Payment made in " &amp;year</f>
        <v xml:space="preserve">          (g) 1st Expected Non-Standard CR Payment made in 2021</v>
      </c>
      <c r="E210" s="82">
        <v>0</v>
      </c>
    </row>
    <row r="211" spans="1:6" ht="15" thickBot="1" x14ac:dyDescent="0.4">
      <c r="A211" s="32" t="str">
        <f>"          (h) Month of 1st Non-Standard CR Payment in " &amp;year</f>
        <v xml:space="preserve">          (h) Month of 1st Non-Standard CR Payment in 2021</v>
      </c>
      <c r="E211" s="120" t="s">
        <v>75</v>
      </c>
    </row>
    <row r="212" spans="1:6" ht="15" thickBot="1" x14ac:dyDescent="0.4">
      <c r="A212" s="32" t="str">
        <f>"          (i) 2nd Expected Non-Standard CR Payment made in " &amp;year</f>
        <v xml:space="preserve">          (i) 2nd Expected Non-Standard CR Payment made in 2021</v>
      </c>
      <c r="E212" s="82">
        <v>0</v>
      </c>
    </row>
    <row r="213" spans="1:6" ht="15" thickBot="1" x14ac:dyDescent="0.4">
      <c r="A213" s="32" t="str">
        <f>"          (j) Month of 2nd Non-Standard CR Payment in " &amp;year</f>
        <v xml:space="preserve">          (j) Month of 2nd Non-Standard CR Payment in 2021</v>
      </c>
      <c r="E213" s="120" t="s">
        <v>75</v>
      </c>
    </row>
    <row r="214" spans="1:6" ht="15" thickBot="1" x14ac:dyDescent="0.4">
      <c r="A214" s="32" t="str">
        <f>"          (k) 3rd Expected Non-Standard CR Payment made in " &amp;year</f>
        <v xml:space="preserve">          (k) 3rd Expected Non-Standard CR Payment made in 2021</v>
      </c>
      <c r="E214" s="82">
        <v>0</v>
      </c>
    </row>
    <row r="215" spans="1:6" ht="15" thickBot="1" x14ac:dyDescent="0.4">
      <c r="A215" s="32" t="str">
        <f>"          (l) Month of 3rd Non-Standard CR Payment in " &amp;year</f>
        <v xml:space="preserve">          (l) Month of 3rd Non-Standard CR Payment in 2021</v>
      </c>
      <c r="E215" s="120" t="s">
        <v>75</v>
      </c>
    </row>
    <row r="216" spans="1:6" ht="15" thickBot="1" x14ac:dyDescent="0.4">
      <c r="E216" s="65"/>
    </row>
    <row r="217" spans="1:6" ht="15" thickBot="1" x14ac:dyDescent="0.4">
      <c r="A217" s="32" t="str">
        <f>"      (2) Claims Paid During the Last 6 Months of " &amp;year-2</f>
        <v xml:space="preserve">      (2) Claims Paid During the Last 6 Months of 2019</v>
      </c>
      <c r="E217" s="82"/>
    </row>
    <row r="220" spans="1:6" x14ac:dyDescent="0.35">
      <c r="A220" s="32" t="str">
        <f>"15. " &amp;year-1&amp; " Contingency Payment, Int. &amp; Inv. Income, and Reserve Calculation"</f>
        <v>15. 2020 Contingency Payment, Int. &amp; Inv. Income, and Reserve Calculation</v>
      </c>
    </row>
    <row r="221" spans="1:6" x14ac:dyDescent="0.35">
      <c r="A221" s="32"/>
    </row>
    <row r="222" spans="1:6" x14ac:dyDescent="0.35">
      <c r="A222" s="32" t="str">
        <f>"          (a) Contingency Reserve "</f>
        <v xml:space="preserve">          (a) Contingency Reserve </v>
      </c>
    </row>
    <row r="223" spans="1:6" x14ac:dyDescent="0.35">
      <c r="A223" s="32" t="str">
        <f>"                   (1) Contingency Reserve Balance on 12/31/" &amp;year-2</f>
        <v xml:space="preserve">                   (1) Contingency Reserve Balance on 12/31/2019</v>
      </c>
      <c r="F223" s="55">
        <f>E198</f>
        <v>0</v>
      </c>
    </row>
    <row r="224" spans="1:6" x14ac:dyDescent="0.35">
      <c r="A224" s="32" t="str">
        <f>"                   (2) Claims Paid During the Last 6 Months of " &amp;year-2</f>
        <v xml:space="preserve">                   (2) Claims Paid During the Last 6 Months of 2019</v>
      </c>
      <c r="F224" s="55">
        <f>E217</f>
        <v>0</v>
      </c>
    </row>
    <row r="225" spans="1:19" x14ac:dyDescent="0.35">
      <c r="A225" s="32" t="str">
        <f>"                   (3) Paid Expenses for " &amp;year-2</f>
        <v xml:space="preserve">                   (3) Paid Expenses for 2019</v>
      </c>
      <c r="F225" s="55">
        <f>C178+E178</f>
        <v>0</v>
      </c>
    </row>
    <row r="226" spans="1:19" x14ac:dyDescent="0.35">
      <c r="A226" s="32" t="str">
        <f>"                   (4) Three and One-Half Months of Paid Outgo"</f>
        <v xml:space="preserve">                   (4) Three and One-Half Months of Paid Outgo</v>
      </c>
      <c r="F226" s="55">
        <f>(7/12*F224)+(7/24*F225)</f>
        <v>0</v>
      </c>
    </row>
    <row r="227" spans="1:19" x14ac:dyDescent="0.35">
      <c r="A227" s="32" t="str">
        <f>"                   (5) Preferred Minimum Balance"</f>
        <v xml:space="preserve">                   (5) Preferred Minimum Balance</v>
      </c>
      <c r="F227" s="55">
        <f>3/7*F226</f>
        <v>0</v>
      </c>
    </row>
    <row r="228" spans="1:19" x14ac:dyDescent="0.35">
      <c r="A228" s="32" t="str">
        <f>"                   (6) Accrued Claims Reserve + Accrued Exp Reserve + Special Reserve 12/31/"&amp;year-2</f>
        <v xml:space="preserve">                   (6) Accrued Claims Reserve + Accrued Exp Reserve + Special Reserve 12/31/2019</v>
      </c>
      <c r="F228" s="55">
        <f>F165+F163+F167</f>
        <v>0</v>
      </c>
      <c r="S228" s="202"/>
    </row>
    <row r="229" spans="1:19" s="202" customFormat="1" x14ac:dyDescent="0.35">
      <c r="A229" s="32" t="str">
        <f>"                   (7) " &amp;year-1&amp; " Contingency Reserve Payment to LOCA/(LOCA Payment to CR)"</f>
        <v xml:space="preserve">                   (7) 2020 Contingency Reserve Payment to LOCA/(LOCA Payment to CR)</v>
      </c>
      <c r="F229" s="212">
        <f>IF(FiveNoSpecialPayment1,IF(F228&gt;F226,-(F228-F226),MIN(F226-F228,F223-F227)),E204+E206+E208)</f>
        <v>0</v>
      </c>
    </row>
    <row r="230" spans="1:19" s="202" customFormat="1" x14ac:dyDescent="0.35">
      <c r="A230" s="207" t="str">
        <f>"                   (8) " &amp;year-1&amp; " Payments to Contingency Reserve Fund"</f>
        <v xml:space="preserve">                   (8) 2020 Payments to Contingency Reserve Fund</v>
      </c>
      <c r="F230" s="208">
        <f>F40*(0.04-OPMadmin)</f>
        <v>0</v>
      </c>
      <c r="G230" s="209"/>
      <c r="H230" s="209"/>
    </row>
    <row r="231" spans="1:19" s="202" customFormat="1" x14ac:dyDescent="0.35">
      <c r="A231" s="207" t="str">
        <f>"                   (9) " &amp;year-1&amp; " Interest on Contingency Reserve Fund"</f>
        <v xml:space="preserve">                   (9) 2020 Interest on Contingency Reserve Fund</v>
      </c>
      <c r="F231" s="208">
        <f>IF(FiveNoSpecialPayment1,Yr1CR*(F223+0.5*F230-0.25*F229),Yr1CR*(F223+0.5*F230-(((12.5-T1)/12)*E204+((12.5-T2)/12)*E206+((12.5-T3)/12)*E208)))</f>
        <v>0</v>
      </c>
      <c r="G231" s="208"/>
    </row>
    <row r="232" spans="1:19" s="202" customFormat="1" x14ac:dyDescent="0.35">
      <c r="A232" s="32" t="str">
        <f>"                 (10) 12/31/" &amp;year-1&amp; " Contingency Reserve Balance"</f>
        <v xml:space="preserve">                 (10) 12/31/2020 Contingency Reserve Balance</v>
      </c>
      <c r="F232" s="212">
        <f>F223+F230+F231-F229</f>
        <v>0</v>
      </c>
      <c r="G232" s="212"/>
      <c r="S232" s="54"/>
    </row>
    <row r="233" spans="1:19" x14ac:dyDescent="0.35">
      <c r="A233" s="32"/>
    </row>
    <row r="234" spans="1:19" x14ac:dyDescent="0.35">
      <c r="A234" s="32" t="str">
        <f>"          (b) Estimated Interest Plus Investment Income "</f>
        <v xml:space="preserve">          (b) Estimated Interest Plus Investment Income </v>
      </c>
    </row>
    <row r="235" spans="1:19" x14ac:dyDescent="0.35">
      <c r="A235" s="32" t="str">
        <f>"                   (1) Accrued Claims Reserve + Accrued Exp Reserve + Special Reserve 12/31/"&amp;year-2</f>
        <v xml:space="preserve">                   (1) Accrued Claims Reserve + Accrued Exp Reserve + Special Reserve 12/31/2019</v>
      </c>
      <c r="F235" s="55">
        <f>F228</f>
        <v>0</v>
      </c>
    </row>
    <row r="236" spans="1:19" x14ac:dyDescent="0.35">
      <c r="A236" s="32" t="str">
        <f>"                   (2) Premium Income Accrued but Unpaid 12/31/" &amp;year-2</f>
        <v xml:space="preserve">                   (2) Premium Income Accrued but Unpaid 12/31/2019</v>
      </c>
      <c r="F236" s="55">
        <f>I14</f>
        <v>0</v>
      </c>
    </row>
    <row r="237" spans="1:19" x14ac:dyDescent="0.35">
      <c r="A237" s="207" t="str">
        <f>"                   (3) " &amp;year-1&amp; " Contingency Reserve Payment to LOCA/(LOCA Payment to CR)"</f>
        <v xml:space="preserve">                   (3) 2020 Contingency Reserve Payment to LOCA/(LOCA Payment to CR)</v>
      </c>
      <c r="F237" s="55">
        <f>F229</f>
        <v>0</v>
      </c>
    </row>
    <row r="238" spans="1:19" x14ac:dyDescent="0.35">
      <c r="A238" s="32" t="str">
        <f>"                   (4) " &amp;year-1&amp; " Total Premium Income"</f>
        <v xml:space="preserve">                   (4) 2020 Total Premium Income</v>
      </c>
      <c r="F238" s="56">
        <f>G40</f>
        <v>0</v>
      </c>
    </row>
    <row r="239" spans="1:19" x14ac:dyDescent="0.35">
      <c r="A239" s="32" t="str">
        <f>"                   (5) " &amp;year-1&amp; " Estimated Paid Claims"</f>
        <v xml:space="preserve">                   (5) 2020 Estimated Paid Claims</v>
      </c>
      <c r="F239" s="55" t="e">
        <f>G80*G157+(1-G80)*G156</f>
        <v>#DIV/0!</v>
      </c>
    </row>
    <row r="240" spans="1:19" x14ac:dyDescent="0.35">
      <c r="A240" s="32" t="str">
        <f>"                   (6) " &amp;year-1&amp; " Paid Expenses"</f>
        <v xml:space="preserve">                   (6) 2020 Paid Expenses</v>
      </c>
      <c r="F240" s="55">
        <f>C179+E179</f>
        <v>0</v>
      </c>
      <c r="S240" s="202"/>
    </row>
    <row r="241" spans="1:19" s="202" customFormat="1" x14ac:dyDescent="0.35">
      <c r="A241" s="207" t="str">
        <f>"                   (7) " &amp;year-1&amp; " Average Investment Balance"</f>
        <v xml:space="preserve">                   (7) 2020 Average Investment Balance</v>
      </c>
      <c r="F241" s="212" t="e">
        <f>IF(FiveNoSpecialPayment1,F235-F236+0.25*F237+0.5*(F238-F239-F240),F235-F236+0.5*(F238-F239-F240)+(((12.5-T1)/12)*E204+((12.5-T2)/12)*E206+((12.5-T3)/12)*E208))</f>
        <v>#DIV/0!</v>
      </c>
      <c r="S241" s="54"/>
    </row>
    <row r="242" spans="1:19" x14ac:dyDescent="0.35">
      <c r="A242" s="32" t="str">
        <f>"                   (8) " &amp;year-1&amp; " Estimated Interest Plus Investment Income"</f>
        <v xml:space="preserve">                   (8) 2020 Estimated Interest Plus Investment Income</v>
      </c>
      <c r="F242" s="55" t="e">
        <f>Yr1LOC*F241</f>
        <v>#DIV/0!</v>
      </c>
    </row>
    <row r="243" spans="1:19" x14ac:dyDescent="0.35">
      <c r="A243" s="32"/>
    </row>
    <row r="244" spans="1:19" x14ac:dyDescent="0.35">
      <c r="A244" s="32" t="str">
        <f>"          (c) Special Reserve - " &amp;year-1</f>
        <v xml:space="preserve">          (c) Special Reserve - 2020</v>
      </c>
    </row>
    <row r="245" spans="1:19" x14ac:dyDescent="0.35">
      <c r="A245" s="32" t="str">
        <f>"                   (1) Income"</f>
        <v xml:space="preserve">                   (1) Income</v>
      </c>
    </row>
    <row r="246" spans="1:19" x14ac:dyDescent="0.35">
      <c r="A246" s="32" t="str">
        <f>"                           (a) Premium Income"</f>
        <v xml:space="preserve">                           (a) Premium Income</v>
      </c>
      <c r="F246" s="56">
        <f>F238</f>
        <v>0</v>
      </c>
    </row>
    <row r="247" spans="1:19" x14ac:dyDescent="0.35">
      <c r="A247" s="207" t="str">
        <f>"                           (b) Contingency Reserve Payment to LOCA/(LOCA Payment to CR)"</f>
        <v xml:space="preserve">                           (b) Contingency Reserve Payment to LOCA/(LOCA Payment to CR)</v>
      </c>
      <c r="F247" s="55">
        <f>F229</f>
        <v>0</v>
      </c>
    </row>
    <row r="248" spans="1:19" x14ac:dyDescent="0.35">
      <c r="A248" s="32" t="str">
        <f>"                           (c) Estimated Interest Plus Investment Income"</f>
        <v xml:space="preserve">                           (c) Estimated Interest Plus Investment Income</v>
      </c>
      <c r="F248" s="55" t="e">
        <f>F242</f>
        <v>#DIV/0!</v>
      </c>
    </row>
    <row r="249" spans="1:19" x14ac:dyDescent="0.35">
      <c r="A249" s="32" t="str">
        <f>"                           (d) Total"</f>
        <v xml:space="preserve">                           (d) Total</v>
      </c>
      <c r="F249" s="56" t="e">
        <f>SUM(F246:F248)</f>
        <v>#DIV/0!</v>
      </c>
    </row>
    <row r="250" spans="1:19" x14ac:dyDescent="0.35">
      <c r="A250" s="32" t="str">
        <f>"                   (2) Outgo"</f>
        <v xml:space="preserve">                   (2) Outgo</v>
      </c>
    </row>
    <row r="251" spans="1:19" x14ac:dyDescent="0.35">
      <c r="A251" s="32" t="str">
        <f>"                           (a) Incurred Claims"</f>
        <v xml:space="preserve">                           (a) Incurred Claims</v>
      </c>
      <c r="F251" s="55" t="e">
        <f>G157</f>
        <v>#DIV/0!</v>
      </c>
    </row>
    <row r="252" spans="1:19" x14ac:dyDescent="0.35">
      <c r="A252" s="32" t="str">
        <f>"                           (b) Incurred Expenses"</f>
        <v xml:space="preserve">                           (b) Incurred Expenses</v>
      </c>
      <c r="F252" s="55" t="e">
        <f>C186+E179</f>
        <v>#DIV/0!</v>
      </c>
    </row>
    <row r="253" spans="1:19" x14ac:dyDescent="0.35">
      <c r="A253" s="32" t="str">
        <f>"                           (c) Total"</f>
        <v xml:space="preserve">                           (c) Total</v>
      </c>
      <c r="F253" s="55" t="e">
        <f>SUM(F251:F252)</f>
        <v>#DIV/0!</v>
      </c>
    </row>
    <row r="254" spans="1:19" x14ac:dyDescent="0.35">
      <c r="A254" s="32" t="str">
        <f>"                   (3) Gain(Loss)"</f>
        <v xml:space="preserve">                   (3) Gain(Loss)</v>
      </c>
      <c r="F254" s="55" t="e">
        <f>F249-F253</f>
        <v>#DIV/0!</v>
      </c>
    </row>
    <row r="255" spans="1:19" x14ac:dyDescent="0.35">
      <c r="A255" s="32" t="str">
        <f>"                   (4) Reserves"</f>
        <v xml:space="preserve">                   (4) Reserves</v>
      </c>
    </row>
    <row r="256" spans="1:19" x14ac:dyDescent="0.35">
      <c r="A256" s="32" t="str">
        <f>"                           (a) Beginning Special"</f>
        <v xml:space="preserve">                           (a) Beginning Special</v>
      </c>
      <c r="F256" s="55">
        <f>F167</f>
        <v>0</v>
      </c>
    </row>
    <row r="257" spans="1:19" x14ac:dyDescent="0.35">
      <c r="A257" s="32" t="str">
        <f>"                           (b) Ending Special"</f>
        <v xml:space="preserve">                           (b) Ending Special</v>
      </c>
      <c r="F257" s="55" t="e">
        <f>F256+F254</f>
        <v>#DIV/0!</v>
      </c>
      <c r="G257" s="57"/>
    </row>
    <row r="258" spans="1:19" x14ac:dyDescent="0.35">
      <c r="A258" s="32"/>
    </row>
    <row r="259" spans="1:19" x14ac:dyDescent="0.35">
      <c r="A259" s="32" t="str">
        <f>"16. " &amp;year&amp; " Contingency Payment, Int. &amp; Inv. Income, and Reserve Calculation"</f>
        <v>16. 2021 Contingency Payment, Int. &amp; Inv. Income, and Reserve Calculation</v>
      </c>
    </row>
    <row r="260" spans="1:19" x14ac:dyDescent="0.35">
      <c r="A260" s="32"/>
    </row>
    <row r="261" spans="1:19" x14ac:dyDescent="0.35">
      <c r="A261" s="32" t="str">
        <f>"          (a) Contingency Reserve "</f>
        <v xml:space="preserve">          (a) Contingency Reserve </v>
      </c>
      <c r="S261" s="202"/>
    </row>
    <row r="262" spans="1:19" s="202" customFormat="1" x14ac:dyDescent="0.35">
      <c r="A262" s="32" t="str">
        <f>"                   (1) Contingency Reserve Balance on 12/31/" &amp;year-1</f>
        <v xml:space="preserve">                   (1) Contingency Reserve Balance on 12/31/2020</v>
      </c>
      <c r="F262" s="212">
        <f>F232</f>
        <v>0</v>
      </c>
    </row>
    <row r="263" spans="1:19" s="202" customFormat="1" x14ac:dyDescent="0.35">
      <c r="A263" s="32" t="str">
        <f>"                   (2) Claims Paid During the Last 6 Months of " &amp;year-1</f>
        <v xml:space="preserve">                   (2) Claims Paid During the Last 6 Months of 2020</v>
      </c>
      <c r="F263" s="212" t="e">
        <f>F224*(G157/G156)</f>
        <v>#DIV/0!</v>
      </c>
    </row>
    <row r="264" spans="1:19" s="202" customFormat="1" x14ac:dyDescent="0.35">
      <c r="A264" s="32" t="str">
        <f>"                   (3) Paid Expenses for " &amp;year-1</f>
        <v xml:space="preserve">                   (3) Paid Expenses for 2020</v>
      </c>
      <c r="F264" s="212">
        <f>C179+E179</f>
        <v>0</v>
      </c>
    </row>
    <row r="265" spans="1:19" s="202" customFormat="1" x14ac:dyDescent="0.35">
      <c r="A265" s="32" t="str">
        <f>"                   (4) Three and One-Half Months of Paid Outgo"</f>
        <v xml:space="preserve">                   (4) Three and One-Half Months of Paid Outgo</v>
      </c>
      <c r="F265" s="212" t="e">
        <f>(7/12)*F263 + (7/24)*F264</f>
        <v>#DIV/0!</v>
      </c>
    </row>
    <row r="266" spans="1:19" s="202" customFormat="1" x14ac:dyDescent="0.35">
      <c r="A266" s="32" t="str">
        <f>"                   (5) Preferred Minimum Balance"</f>
        <v xml:space="preserve">                   (5) Preferred Minimum Balance</v>
      </c>
      <c r="F266" s="212" t="e">
        <f>(3/7)*F265</f>
        <v>#DIV/0!</v>
      </c>
    </row>
    <row r="267" spans="1:19" s="202" customFormat="1" x14ac:dyDescent="0.35">
      <c r="A267" s="32" t="str">
        <f>"                   (6) Accrued Claims Reserve + Accrued Exp Reserve + Special Reserve 12/31/"&amp;year-1</f>
        <v xml:space="preserve">                   (6) Accrued Claims Reserve + Accrued Exp Reserve + Special Reserve 12/31/2020</v>
      </c>
      <c r="F267" s="212" t="e">
        <f>F171+E186+F257</f>
        <v>#DIV/0!</v>
      </c>
    </row>
    <row r="268" spans="1:19" s="202" customFormat="1" x14ac:dyDescent="0.35">
      <c r="A268" s="32" t="str">
        <f>"                   (7) " &amp;year&amp; " Contingency Reserve Payment to LOCA/(LOCA Payment to CR)"</f>
        <v xml:space="preserve">                   (7) 2021 Contingency Reserve Payment to LOCA/(LOCA Payment to CR)</v>
      </c>
      <c r="F268" s="212" t="e">
        <f>IF(FiveNoSpecialPayment2,IF(F267&gt;F265,-(F267-F265),MIN(F265-F267,F262-F266)),E210+E212+E214)</f>
        <v>#DIV/0!</v>
      </c>
    </row>
    <row r="269" spans="1:19" s="202" customFormat="1" x14ac:dyDescent="0.35">
      <c r="A269" s="207" t="str">
        <f>"                   (8) " &amp;year&amp; " Payments to Contingency Reserve Fund"</f>
        <v xml:space="preserve">                   (8) 2021 Payments to Contingency Reserve Fund</v>
      </c>
      <c r="F269" s="212">
        <f>F45*(0.04-OPMadmin)</f>
        <v>0</v>
      </c>
    </row>
    <row r="270" spans="1:19" s="202" customFormat="1" x14ac:dyDescent="0.35">
      <c r="A270" s="207" t="str">
        <f>"                   (9) " &amp;year&amp; " Interest on Contingency Reserve Fund"</f>
        <v xml:space="preserve">                   (9) 2021 Interest on Contingency Reserve Fund</v>
      </c>
      <c r="F270" s="212" t="e">
        <f>IF(FiveNoSpecialPayment2,Yr2CR*(F262+0.5*F269-0.25*F268),Yr2CR*(F262+0.5*F269-(((12.5-T4)/12)*E210+((12.5-T5)/12)*E212+((12.5-T6)/12)*E214)))</f>
        <v>#DIV/0!</v>
      </c>
    </row>
    <row r="271" spans="1:19" s="202" customFormat="1" x14ac:dyDescent="0.35">
      <c r="A271" s="32" t="str">
        <f>"                 (10) 12/31/" &amp;year&amp; " Contingency Reserve Balance"</f>
        <v xml:space="preserve">                 (10) 12/31/2021 Contingency Reserve Balance</v>
      </c>
      <c r="F271" s="212" t="e">
        <f>F262+F269+F270-F268</f>
        <v>#DIV/0!</v>
      </c>
    </row>
    <row r="272" spans="1:19" s="202" customFormat="1" x14ac:dyDescent="0.35">
      <c r="A272" s="32"/>
    </row>
    <row r="273" spans="1:19" s="202" customFormat="1" x14ac:dyDescent="0.35">
      <c r="A273" s="32" t="str">
        <f>"          (b) Estimated Interest Plus Investment Income "</f>
        <v xml:space="preserve">          (b) Estimated Interest Plus Investment Income </v>
      </c>
    </row>
    <row r="274" spans="1:19" s="202" customFormat="1" x14ac:dyDescent="0.35">
      <c r="A274" s="32" t="str">
        <f>"                   (1) Accrued Claims Reserve + Accrued Exp Reserve + Special Reserve 12/31/"&amp;year-1</f>
        <v xml:space="preserve">                   (1) Accrued Claims Reserve + Accrued Exp Reserve + Special Reserve 12/31/2020</v>
      </c>
      <c r="F274" s="212" t="e">
        <f>F267</f>
        <v>#DIV/0!</v>
      </c>
    </row>
    <row r="275" spans="1:19" s="202" customFormat="1" x14ac:dyDescent="0.35">
      <c r="A275" s="32" t="str">
        <f>"                   (2) Premium Income Accrued but Unpaid 12/31/" &amp;year-1</f>
        <v xml:space="preserve">                   (2) Premium Income Accrued but Unpaid 12/31/2020</v>
      </c>
      <c r="F275" s="212" t="e">
        <f>F236*(G40/G35)</f>
        <v>#DIV/0!</v>
      </c>
    </row>
    <row r="276" spans="1:19" s="202" customFormat="1" x14ac:dyDescent="0.35">
      <c r="A276" s="207" t="str">
        <f>"                   (3) " &amp;year&amp; " Contingency Reserve Payment to LOCA/(LOCA Payment to CR)"</f>
        <v xml:space="preserve">                   (3) 2021 Contingency Reserve Payment to LOCA/(LOCA Payment to CR)</v>
      </c>
      <c r="F276" s="212" t="e">
        <f>F268</f>
        <v>#DIV/0!</v>
      </c>
    </row>
    <row r="277" spans="1:19" s="202" customFormat="1" x14ac:dyDescent="0.35">
      <c r="A277" s="32" t="str">
        <f>"                   (4) " &amp;year&amp; " Total Premium Income"</f>
        <v xml:space="preserve">                   (4) 2021 Total Premium Income</v>
      </c>
      <c r="F277" s="212">
        <f>F45</f>
        <v>0</v>
      </c>
    </row>
    <row r="278" spans="1:19" s="202" customFormat="1" x14ac:dyDescent="0.35">
      <c r="A278" s="32" t="str">
        <f>"                   (5) " &amp;year&amp; " Estimated Paid Claims"</f>
        <v xml:space="preserve">                   (5) 2021 Estimated Paid Claims</v>
      </c>
      <c r="F278" s="212" t="e">
        <f>(G80*G158)+((1-G80)*G157)</f>
        <v>#DIV/0!</v>
      </c>
    </row>
    <row r="279" spans="1:19" s="202" customFormat="1" x14ac:dyDescent="0.35">
      <c r="A279" s="32" t="str">
        <f>"                   (6) " &amp;year&amp; " Paid Expenses"</f>
        <v xml:space="preserve">                   (6) 2021 Paid Expenses</v>
      </c>
      <c r="F279" s="212">
        <f>C180+E180</f>
        <v>0</v>
      </c>
    </row>
    <row r="280" spans="1:19" s="202" customFormat="1" x14ac:dyDescent="0.35">
      <c r="A280" s="207" t="str">
        <f>"                   (7) " &amp;year&amp; " Average Investment Balance"</f>
        <v xml:space="preserve">                   (7) 2021 Average Investment Balance</v>
      </c>
      <c r="F280" s="212" t="e">
        <f>IF(FiveNoSpecialPayment2,F274-F275+0.25*F276+0.5*(F277-F278-F279),F274-F275+0.5*(F277-F278-F279)+(((12.5-T4)/12)*E210+((12.5-T5)/12)*E212+((12.5-T6)/12)*E214))</f>
        <v>#DIV/0!</v>
      </c>
    </row>
    <row r="281" spans="1:19" s="202" customFormat="1" x14ac:dyDescent="0.35">
      <c r="A281" s="32" t="str">
        <f>"                   (8) " &amp;year&amp; " Estimated Interest Plus Investment Income"</f>
        <v xml:space="preserve">                   (8) 2021 Estimated Interest Plus Investment Income</v>
      </c>
      <c r="F281" s="212" t="e">
        <f>Yr2LOC*F280</f>
        <v>#DIV/0!</v>
      </c>
    </row>
    <row r="282" spans="1:19" s="202" customFormat="1" x14ac:dyDescent="0.35">
      <c r="S282" s="54"/>
    </row>
  </sheetData>
  <sheetProtection algorithmName="SHA-512" hashValue="XX50p1hovsCG0QB6nsTSr1gCziVqaF7QqEIn5vU2QcnujrE1pwqmD4Pu77KFMlzegwJ8UjIaflr9WWH8ggIcXA==" saltValue="pLutA1xBJc35KYHcbfyiQw==" spinCount="100000" sheet="1" objects="1" scenarios="1"/>
  <mergeCells count="41">
    <mergeCell ref="A87:I87"/>
    <mergeCell ref="A88:I88"/>
    <mergeCell ref="F97:G97"/>
    <mergeCell ref="A1:K1"/>
    <mergeCell ref="A2:K2"/>
    <mergeCell ref="D5:F5"/>
    <mergeCell ref="H5:J5"/>
    <mergeCell ref="A86:I86"/>
    <mergeCell ref="F24:G24"/>
    <mergeCell ref="I24:J24"/>
    <mergeCell ref="F54:F55"/>
    <mergeCell ref="G54:G55"/>
    <mergeCell ref="B59:G61"/>
    <mergeCell ref="E114:I114"/>
    <mergeCell ref="E125:E126"/>
    <mergeCell ref="G125:G126"/>
    <mergeCell ref="A89:I89"/>
    <mergeCell ref="B129:C129"/>
    <mergeCell ref="B128:C128"/>
    <mergeCell ref="B127:C127"/>
    <mergeCell ref="A107:I107"/>
    <mergeCell ref="A110:I110"/>
    <mergeCell ref="A109:I109"/>
    <mergeCell ref="A108:I108"/>
    <mergeCell ref="A106:I106"/>
    <mergeCell ref="A131:I131"/>
    <mergeCell ref="A132:I133"/>
    <mergeCell ref="I54:J60"/>
    <mergeCell ref="B148:C148"/>
    <mergeCell ref="B153:F153"/>
    <mergeCell ref="A54:A55"/>
    <mergeCell ref="B54:B55"/>
    <mergeCell ref="C54:C55"/>
    <mergeCell ref="D54:D55"/>
    <mergeCell ref="E54:E55"/>
    <mergeCell ref="B138:C138"/>
    <mergeCell ref="B139:C139"/>
    <mergeCell ref="B140:C140"/>
    <mergeCell ref="B146:C146"/>
    <mergeCell ref="B147:C147"/>
    <mergeCell ref="B114:D114"/>
  </mergeCells>
  <phoneticPr fontId="3" type="noConversion"/>
  <dataValidations count="3">
    <dataValidation type="list" allowBlank="1" showInputMessage="1" showErrorMessage="1" sqref="E205 E207 E209 E211 E213 E215" xr:uid="{00000000-0002-0000-0200-000000000000}">
      <formula1>$S$1:$S$13</formula1>
    </dataValidation>
    <dataValidation type="custom" allowBlank="1" showInputMessage="1" showErrorMessage="1" error="Accrued Income of Previous Year must be a positive value." sqref="E11:E12 I11:I12" xr:uid="{00000000-0002-0000-0200-000001000000}">
      <formula1>E11&gt;=0</formula1>
    </dataValidation>
    <dataValidation type="custom" allowBlank="1" showInputMessage="1" showErrorMessage="1" error="Return of Excess Reserves must be a positive value." sqref="I20" xr:uid="{00000000-0002-0000-0200-000002000000}">
      <formula1>I20&gt;=0</formula1>
    </dataValidation>
  </dataValidations>
  <pageMargins left="0.75" right="0.75" top="1" bottom="1" header="0.5" footer="0.5"/>
  <pageSetup scale="51" fitToHeight="11" orientation="portrait" r:id="rId1"/>
  <headerFooter alignWithMargins="0">
    <oddFooter>&amp;C&amp;P</oddFooter>
  </headerFooter>
  <rowBreaks count="3" manualBreakCount="3">
    <brk id="85" max="10" man="1"/>
    <brk id="149" max="10" man="1"/>
    <brk id="218" max="10" man="1"/>
  </rowBreaks>
  <ignoredErrors>
    <ignoredError sqref="G3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'Proposal Questions'!$S$1:$S$2</xm:f>
          </x14:formula1>
          <xm:sqref>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20"/>
  </sheetPr>
  <dimension ref="A1:M49"/>
  <sheetViews>
    <sheetView zoomScaleNormal="100" workbookViewId="0">
      <selection activeCell="I14" sqref="I14"/>
    </sheetView>
  </sheetViews>
  <sheetFormatPr defaultColWidth="9.1796875" defaultRowHeight="14.5" x14ac:dyDescent="0.35"/>
  <cols>
    <col min="1" max="6" width="9.1796875" style="54"/>
    <col min="7" max="9" width="20.7265625" style="54" customWidth="1"/>
    <col min="10" max="16384" width="9.1796875" style="54"/>
  </cols>
  <sheetData>
    <row r="1" spans="1:13" ht="18.5" x14ac:dyDescent="0.45">
      <c r="A1" s="479" t="s">
        <v>88</v>
      </c>
      <c r="B1" s="479"/>
      <c r="C1" s="479"/>
      <c r="D1" s="479"/>
      <c r="E1" s="479"/>
      <c r="F1" s="479"/>
      <c r="G1" s="479"/>
      <c r="H1" s="479"/>
      <c r="I1" s="479"/>
    </row>
    <row r="2" spans="1:13" x14ac:dyDescent="0.35">
      <c r="A2" s="477">
        <f>Plan</f>
        <v>0</v>
      </c>
      <c r="B2" s="477"/>
      <c r="C2" s="477"/>
      <c r="D2" s="477"/>
      <c r="E2" s="477"/>
      <c r="F2" s="477"/>
      <c r="G2" s="477"/>
      <c r="H2" s="477"/>
      <c r="I2" s="477"/>
    </row>
    <row r="3" spans="1:13" x14ac:dyDescent="0.35">
      <c r="A3" s="477" t="str">
        <f>IF(Option="1, 3, 2", Code&amp;"1, "&amp;Code&amp;"3, "&amp;Code&amp;"2", IF(Option="4, 6, 5", Code&amp;"4, "&amp;Code&amp;"6, "&amp;Code&amp;"5", ""))</f>
        <v/>
      </c>
      <c r="B3" s="477"/>
      <c r="C3" s="477"/>
      <c r="D3" s="477"/>
      <c r="E3" s="477"/>
      <c r="F3" s="477"/>
      <c r="G3" s="477"/>
      <c r="H3" s="477"/>
      <c r="I3" s="477"/>
    </row>
    <row r="4" spans="1:13" ht="15" thickBot="1" x14ac:dyDescent="0.4"/>
    <row r="5" spans="1:13" ht="15" thickBot="1" x14ac:dyDescent="0.4">
      <c r="A5" s="61"/>
      <c r="B5" s="62"/>
      <c r="C5" s="62"/>
      <c r="D5" s="62"/>
      <c r="E5" s="62"/>
      <c r="F5" s="63"/>
      <c r="G5" s="58">
        <f>year-2</f>
        <v>2019</v>
      </c>
      <c r="H5" s="58">
        <f>year-1</f>
        <v>2020</v>
      </c>
      <c r="I5" s="58">
        <f>year</f>
        <v>2021</v>
      </c>
    </row>
    <row r="6" spans="1:13" x14ac:dyDescent="0.35">
      <c r="A6" s="64" t="s">
        <v>89</v>
      </c>
      <c r="B6" s="65"/>
      <c r="C6" s="65"/>
      <c r="D6" s="65"/>
      <c r="E6" s="65"/>
      <c r="F6" s="65"/>
      <c r="G6" s="401"/>
      <c r="H6" s="401"/>
      <c r="I6" s="401"/>
    </row>
    <row r="7" spans="1:13" x14ac:dyDescent="0.35">
      <c r="A7" s="64" t="str">
        <f>"       1. Incurred Premium Income"</f>
        <v xml:space="preserve">       1. Incurred Premium Income</v>
      </c>
      <c r="B7" s="65"/>
      <c r="C7" s="65"/>
      <c r="D7" s="65"/>
      <c r="E7" s="65"/>
      <c r="F7" s="65"/>
      <c r="G7" s="122">
        <f>'Rate Proposal - 5 year'!G35</f>
        <v>0</v>
      </c>
      <c r="H7" s="122">
        <f>'Rate Proposal - 5 year'!F238</f>
        <v>0</v>
      </c>
      <c r="I7" s="122">
        <f>'Rate Proposal - 5 year'!F277</f>
        <v>0</v>
      </c>
      <c r="K7" s="55"/>
      <c r="L7" s="55"/>
      <c r="M7" s="55"/>
    </row>
    <row r="8" spans="1:13" x14ac:dyDescent="0.35">
      <c r="A8" s="64" t="str">
        <f>"       2. Contingency Reserve Payment"</f>
        <v xml:space="preserve">       2. Contingency Reserve Payment</v>
      </c>
      <c r="B8" s="65"/>
      <c r="C8" s="65"/>
      <c r="D8" s="65"/>
      <c r="E8" s="65"/>
      <c r="F8" s="65"/>
      <c r="G8" s="122">
        <f>'Rate Proposal - 5 year'!I18-'Rate Proposal - 5 year'!I20</f>
        <v>0</v>
      </c>
      <c r="H8" s="122">
        <f>'Rate Proposal - 5 year'!F229</f>
        <v>0</v>
      </c>
      <c r="I8" s="122" t="e">
        <f>'Rate Proposal - 5 year'!F268</f>
        <v>#DIV/0!</v>
      </c>
      <c r="K8" s="55"/>
      <c r="L8" s="55"/>
      <c r="M8" s="55"/>
    </row>
    <row r="9" spans="1:13" x14ac:dyDescent="0.35">
      <c r="A9" s="64" t="str">
        <f>"       3. Interest + Investment Income"</f>
        <v xml:space="preserve">       3. Interest + Investment Income</v>
      </c>
      <c r="B9" s="65"/>
      <c r="C9" s="65"/>
      <c r="D9" s="65"/>
      <c r="E9" s="65"/>
      <c r="F9" s="65"/>
      <c r="G9" s="122">
        <f>'Rate Proposal - 5 year'!I9+'Rate Proposal - 5 year'!I16+'Rate Proposal - 5 year'!I15-'Rate Proposal - 5 year'!I12</f>
        <v>0</v>
      </c>
      <c r="H9" s="122" t="e">
        <f>'Rate Proposal - 5 year'!F248</f>
        <v>#DIV/0!</v>
      </c>
      <c r="I9" s="122" t="e">
        <f>'Rate Proposal - 5 year'!F281</f>
        <v>#DIV/0!</v>
      </c>
      <c r="K9" s="55"/>
      <c r="L9" s="55"/>
      <c r="M9" s="55"/>
    </row>
    <row r="10" spans="1:13" x14ac:dyDescent="0.35">
      <c r="A10" s="64" t="str">
        <f>"       4. Total"</f>
        <v xml:space="preserve">       4. Total</v>
      </c>
      <c r="B10" s="65"/>
      <c r="C10" s="65"/>
      <c r="D10" s="65"/>
      <c r="E10" s="65"/>
      <c r="F10" s="65"/>
      <c r="G10" s="122">
        <f>SUM(G7:G9)</f>
        <v>0</v>
      </c>
      <c r="H10" s="122" t="e">
        <f>SUM(H7:H9)</f>
        <v>#DIV/0!</v>
      </c>
      <c r="I10" s="122" t="e">
        <f>SUM(I7:I9)</f>
        <v>#DIV/0!</v>
      </c>
      <c r="K10" s="55"/>
      <c r="L10" s="55"/>
      <c r="M10" s="55"/>
    </row>
    <row r="11" spans="1:13" x14ac:dyDescent="0.35">
      <c r="A11" s="64" t="s">
        <v>90</v>
      </c>
      <c r="B11" s="65"/>
      <c r="C11" s="65"/>
      <c r="D11" s="65"/>
      <c r="E11" s="65"/>
      <c r="F11" s="65"/>
      <c r="G11" s="123"/>
      <c r="H11" s="122"/>
      <c r="I11" s="123"/>
      <c r="K11" s="55"/>
      <c r="L11" s="55"/>
      <c r="M11" s="55"/>
    </row>
    <row r="12" spans="1:13" x14ac:dyDescent="0.35">
      <c r="A12" s="64" t="str">
        <f>"       1. Incurred Claims"</f>
        <v xml:space="preserve">       1. Incurred Claims</v>
      </c>
      <c r="B12" s="65"/>
      <c r="C12" s="65"/>
      <c r="D12" s="65"/>
      <c r="E12" s="65"/>
      <c r="F12" s="65"/>
      <c r="G12" s="122" t="e">
        <f>'Rate Proposal - 5 year'!G156</f>
        <v>#DIV/0!</v>
      </c>
      <c r="H12" s="122" t="e">
        <f>'Rate Proposal - 5 year'!F251</f>
        <v>#DIV/0!</v>
      </c>
      <c r="I12" s="122" t="e">
        <f>'Rate Proposal - 5 year'!G158</f>
        <v>#DIV/0!</v>
      </c>
      <c r="K12" s="55"/>
      <c r="L12" s="55"/>
      <c r="M12" s="55"/>
    </row>
    <row r="13" spans="1:13" x14ac:dyDescent="0.35">
      <c r="A13" s="64" t="str">
        <f>"       2. Incurred Expenses"</f>
        <v xml:space="preserve">       2. Incurred Expenses</v>
      </c>
      <c r="B13" s="65"/>
      <c r="C13" s="65"/>
      <c r="D13" s="65"/>
      <c r="E13" s="65"/>
      <c r="F13" s="65"/>
      <c r="G13" s="122" t="e">
        <f>'Rate Proposal - 5 year'!C185+'Rate Proposal - 5 year'!E178</f>
        <v>#DIV/0!</v>
      </c>
      <c r="H13" s="122" t="e">
        <f>'Rate Proposal - 5 year'!F252</f>
        <v>#DIV/0!</v>
      </c>
      <c r="I13" s="122" t="e">
        <f>'Rate Proposal - 5 year'!C187+'Rate Proposal - 5 year'!E180</f>
        <v>#DIV/0!</v>
      </c>
      <c r="K13" s="55"/>
      <c r="L13" s="55"/>
      <c r="M13" s="55"/>
    </row>
    <row r="14" spans="1:13" x14ac:dyDescent="0.35">
      <c r="A14" s="64" t="str">
        <f>"       3. Total"</f>
        <v xml:space="preserve">       3. Total</v>
      </c>
      <c r="B14" s="65"/>
      <c r="C14" s="65"/>
      <c r="D14" s="65"/>
      <c r="E14" s="65"/>
      <c r="F14" s="65"/>
      <c r="G14" s="122" t="e">
        <f>SUM(G12:G13)</f>
        <v>#DIV/0!</v>
      </c>
      <c r="H14" s="122" t="e">
        <f>SUM(H12:H13)</f>
        <v>#DIV/0!</v>
      </c>
      <c r="I14" s="122" t="e">
        <f>SUM(I12:I13)</f>
        <v>#DIV/0!</v>
      </c>
      <c r="K14" s="55"/>
      <c r="L14" s="55"/>
      <c r="M14" s="55"/>
    </row>
    <row r="15" spans="1:13" x14ac:dyDescent="0.35">
      <c r="A15" s="64" t="s">
        <v>91</v>
      </c>
      <c r="B15" s="65"/>
      <c r="C15" s="65"/>
      <c r="D15" s="65"/>
      <c r="E15" s="65"/>
      <c r="F15" s="65"/>
      <c r="G15" s="123"/>
      <c r="H15" s="122"/>
      <c r="I15" s="123"/>
      <c r="K15" s="55"/>
      <c r="L15" s="55"/>
      <c r="M15" s="55"/>
    </row>
    <row r="16" spans="1:13" x14ac:dyDescent="0.35">
      <c r="A16" s="64" t="str">
        <f>"       1. Gain (Loss)"</f>
        <v xml:space="preserve">       1. Gain (Loss)</v>
      </c>
      <c r="B16" s="65"/>
      <c r="C16" s="65"/>
      <c r="D16" s="65"/>
      <c r="E16" s="65"/>
      <c r="F16" s="65"/>
      <c r="G16" s="122" t="e">
        <f>G10-G14</f>
        <v>#DIV/0!</v>
      </c>
      <c r="H16" s="122" t="e">
        <f>H10-H14</f>
        <v>#DIV/0!</v>
      </c>
      <c r="I16" s="122" t="e">
        <f>I10-I14</f>
        <v>#DIV/0!</v>
      </c>
      <c r="K16" s="55"/>
      <c r="L16" s="55"/>
      <c r="M16" s="55"/>
    </row>
    <row r="17" spans="1:13" x14ac:dyDescent="0.35">
      <c r="A17" s="64" t="str">
        <f>"       2. Ratio of 1.04* Incurred Premium Income/Outgo"</f>
        <v xml:space="preserve">       2. Ratio of 1.04* Incurred Premium Income/Outgo</v>
      </c>
      <c r="B17" s="65"/>
      <c r="C17" s="65"/>
      <c r="D17" s="65"/>
      <c r="E17" s="65"/>
      <c r="F17" s="65"/>
      <c r="G17" s="124" t="e">
        <f>1.04*G7/G14</f>
        <v>#DIV/0!</v>
      </c>
      <c r="H17" s="124" t="e">
        <f>1.04*H7/H14</f>
        <v>#DIV/0!</v>
      </c>
      <c r="I17" s="124" t="e">
        <f>1.04*I7/I14</f>
        <v>#DIV/0!</v>
      </c>
      <c r="K17" s="55"/>
      <c r="L17" s="55"/>
      <c r="M17" s="55"/>
    </row>
    <row r="18" spans="1:13" x14ac:dyDescent="0.35">
      <c r="A18" s="64" t="s">
        <v>92</v>
      </c>
      <c r="B18" s="65"/>
      <c r="C18" s="65"/>
      <c r="D18" s="65"/>
      <c r="E18" s="65"/>
      <c r="F18" s="65"/>
      <c r="G18" s="123"/>
      <c r="H18" s="123"/>
      <c r="I18" s="123"/>
      <c r="K18" s="55"/>
      <c r="L18" s="55"/>
      <c r="M18" s="55"/>
    </row>
    <row r="19" spans="1:13" x14ac:dyDescent="0.35">
      <c r="A19" s="64" t="str">
        <f>"       1. Beginning Special"</f>
        <v xml:space="preserve">       1. Beginning Special</v>
      </c>
      <c r="B19" s="65"/>
      <c r="C19" s="65"/>
      <c r="D19" s="65"/>
      <c r="E19" s="65"/>
      <c r="F19" s="65"/>
      <c r="G19" s="122" t="e">
        <f>-G16+'Rate Proposal - 5 year'!F167</f>
        <v>#DIV/0!</v>
      </c>
      <c r="H19" s="122">
        <f>'Rate Proposal - 5 year'!F256</f>
        <v>0</v>
      </c>
      <c r="I19" s="122" t="e">
        <f>'Rate Proposal - 5 year'!F257</f>
        <v>#DIV/0!</v>
      </c>
      <c r="K19" s="55"/>
      <c r="L19" s="55"/>
      <c r="M19" s="55"/>
    </row>
    <row r="20" spans="1:13" x14ac:dyDescent="0.35">
      <c r="A20" s="64" t="str">
        <f>"       2. Ending Special"</f>
        <v xml:space="preserve">       2. Ending Special</v>
      </c>
      <c r="B20" s="65"/>
      <c r="C20" s="65"/>
      <c r="D20" s="65"/>
      <c r="E20" s="65"/>
      <c r="F20" s="65"/>
      <c r="G20" s="122">
        <f>'Rate Proposal - 5 year'!F167</f>
        <v>0</v>
      </c>
      <c r="H20" s="122" t="e">
        <f>'Rate Proposal - 5 year'!F257</f>
        <v>#DIV/0!</v>
      </c>
      <c r="I20" s="122" t="e">
        <f>I19+I16</f>
        <v>#DIV/0!</v>
      </c>
      <c r="K20" s="55"/>
      <c r="L20" s="55"/>
      <c r="M20" s="55"/>
    </row>
    <row r="21" spans="1:13" x14ac:dyDescent="0.35">
      <c r="A21" s="64" t="str">
        <f>"       3. Ending Contingency Reserve"</f>
        <v xml:space="preserve">       3. Ending Contingency Reserve</v>
      </c>
      <c r="B21" s="65"/>
      <c r="C21" s="65"/>
      <c r="D21" s="65"/>
      <c r="E21" s="65"/>
      <c r="F21" s="65"/>
      <c r="G21" s="122">
        <f>'Rate Proposal - 5 year'!E198</f>
        <v>0</v>
      </c>
      <c r="H21" s="122">
        <f>'Rate Proposal - 5 year'!F232</f>
        <v>0</v>
      </c>
      <c r="I21" s="122" t="e">
        <f>'Rate Proposal - 5 year'!F271</f>
        <v>#DIV/0!</v>
      </c>
      <c r="K21" s="55"/>
      <c r="L21" s="55"/>
      <c r="M21" s="55"/>
    </row>
    <row r="22" spans="1:13" x14ac:dyDescent="0.35">
      <c r="A22" s="64" t="str">
        <f>"       4. Total Unobligated Reserve"</f>
        <v xml:space="preserve">       4. Total Unobligated Reserve</v>
      </c>
      <c r="B22" s="65"/>
      <c r="C22" s="65"/>
      <c r="D22" s="65"/>
      <c r="E22" s="65"/>
      <c r="F22" s="65"/>
      <c r="G22" s="122">
        <f>G20+G21</f>
        <v>0</v>
      </c>
      <c r="H22" s="122" t="e">
        <f>H20+H21</f>
        <v>#DIV/0!</v>
      </c>
      <c r="I22" s="122" t="e">
        <f>I20+I21</f>
        <v>#DIV/0!</v>
      </c>
      <c r="K22" s="55"/>
      <c r="L22" s="55"/>
      <c r="M22" s="55"/>
    </row>
    <row r="23" spans="1:13" x14ac:dyDescent="0.35">
      <c r="A23" s="64" t="str">
        <f>"       5. Accrued Claims Reserve"</f>
        <v xml:space="preserve">       5. Accrued Claims Reserve</v>
      </c>
      <c r="B23" s="65"/>
      <c r="C23" s="65"/>
      <c r="D23" s="65"/>
      <c r="E23" s="65"/>
      <c r="F23" s="65"/>
      <c r="G23" s="122">
        <f>'Rate Proposal - 5 year'!F170</f>
        <v>0</v>
      </c>
      <c r="H23" s="122" t="e">
        <f>'Rate Proposal - 5 year'!F171</f>
        <v>#DIV/0!</v>
      </c>
      <c r="I23" s="122" t="e">
        <f>'Rate Proposal - 5 year'!F172</f>
        <v>#DIV/0!</v>
      </c>
      <c r="K23" s="55"/>
      <c r="L23" s="55"/>
      <c r="M23" s="55"/>
    </row>
    <row r="24" spans="1:13" x14ac:dyDescent="0.35">
      <c r="A24" s="64" t="str">
        <f>"       6. Accrued Adm. Expense Reserve"</f>
        <v xml:space="preserve">       6. Accrued Adm. Expense Reserve</v>
      </c>
      <c r="B24" s="65"/>
      <c r="C24" s="65"/>
      <c r="D24" s="65"/>
      <c r="E24" s="65"/>
      <c r="F24" s="65"/>
      <c r="G24" s="122">
        <f>'Rate Proposal - 5 year'!E185</f>
        <v>0</v>
      </c>
      <c r="H24" s="122" t="e">
        <f>'Rate Proposal - 5 year'!E186</f>
        <v>#DIV/0!</v>
      </c>
      <c r="I24" s="122" t="e">
        <f>'Rate Proposal - 5 year'!E187</f>
        <v>#DIV/0!</v>
      </c>
      <c r="K24" s="55"/>
      <c r="L24" s="55"/>
      <c r="M24" s="55"/>
    </row>
    <row r="25" spans="1:13" x14ac:dyDescent="0.35">
      <c r="A25" s="64" t="str">
        <f>"       7. Total Reserves"</f>
        <v xml:space="preserve">       7. Total Reserves</v>
      </c>
      <c r="B25" s="65"/>
      <c r="C25" s="65"/>
      <c r="D25" s="65"/>
      <c r="E25" s="65"/>
      <c r="F25" s="65"/>
      <c r="G25" s="122">
        <f>SUM(G22:G24)</f>
        <v>0</v>
      </c>
      <c r="H25" s="122" t="e">
        <f>H24+H23+H22</f>
        <v>#DIV/0!</v>
      </c>
      <c r="I25" s="122" t="e">
        <f>I22+I23+I24</f>
        <v>#DIV/0!</v>
      </c>
      <c r="K25" s="55"/>
      <c r="L25" s="55"/>
      <c r="M25" s="55"/>
    </row>
    <row r="26" spans="1:13" ht="15" thickBot="1" x14ac:dyDescent="0.4">
      <c r="A26" s="70" t="s">
        <v>368</v>
      </c>
      <c r="B26" s="71"/>
      <c r="C26" s="71"/>
      <c r="D26" s="71"/>
      <c r="E26" s="71"/>
      <c r="F26" s="71"/>
      <c r="G26" s="400" t="e">
        <f>G22/(G14/12)</f>
        <v>#DIV/0!</v>
      </c>
      <c r="H26" s="400" t="e">
        <f>H22/(H14/12)</f>
        <v>#DIV/0!</v>
      </c>
      <c r="I26" s="400" t="e">
        <f>I22/(I14/12)</f>
        <v>#DIV/0!</v>
      </c>
      <c r="K26" s="55"/>
      <c r="L26" s="55"/>
      <c r="M26" s="55"/>
    </row>
    <row r="46" spans="1:9" x14ac:dyDescent="0.35">
      <c r="A46" s="480"/>
      <c r="B46" s="480"/>
      <c r="C46" s="480"/>
      <c r="D46" s="480"/>
      <c r="E46" s="480"/>
      <c r="F46" s="480"/>
      <c r="G46" s="480"/>
      <c r="H46" s="480"/>
      <c r="I46" s="480"/>
    </row>
    <row r="47" spans="1:9" x14ac:dyDescent="0.35">
      <c r="A47" s="477"/>
      <c r="B47" s="477"/>
      <c r="C47" s="477"/>
      <c r="D47" s="477"/>
      <c r="E47" s="477"/>
      <c r="F47" s="477"/>
      <c r="G47" s="477"/>
      <c r="H47" s="477"/>
      <c r="I47" s="477"/>
    </row>
    <row r="48" spans="1:9" x14ac:dyDescent="0.35">
      <c r="A48" s="477"/>
      <c r="B48" s="477"/>
      <c r="C48" s="477"/>
      <c r="D48" s="477"/>
      <c r="E48" s="477"/>
      <c r="F48" s="477"/>
      <c r="G48" s="477"/>
      <c r="H48" s="477"/>
      <c r="I48" s="477"/>
    </row>
    <row r="49" spans="1:9" x14ac:dyDescent="0.35">
      <c r="A49" s="478"/>
      <c r="B49" s="478"/>
      <c r="C49" s="478"/>
      <c r="D49" s="478"/>
      <c r="E49" s="478"/>
      <c r="F49" s="478"/>
      <c r="G49" s="478"/>
      <c r="H49" s="478"/>
      <c r="I49" s="478"/>
    </row>
  </sheetData>
  <sheetProtection algorithmName="SHA-512" hashValue="9udvWaPLHWTaP4Wf5PU30+2LhEuzt75QpZMYsMl3Pwov1BPVO3Ud3t+k1Il2uyKzwJBEJSBD4E/Y+dAASwZg+Q==" saltValue="cmNEjohSpZ55BQf1AfmAzg==" spinCount="100000" sheet="1" objects="1" scenarios="1"/>
  <mergeCells count="7">
    <mergeCell ref="A47:I47"/>
    <mergeCell ref="A48:I48"/>
    <mergeCell ref="A49:I49"/>
    <mergeCell ref="A1:I1"/>
    <mergeCell ref="A2:I2"/>
    <mergeCell ref="A3:I3"/>
    <mergeCell ref="A46:I46"/>
  </mergeCells>
  <phoneticPr fontId="3" type="noConversion"/>
  <printOptions horizontalCentered="1" verticalCentered="1"/>
  <pageMargins left="0.75" right="0.75" top="1" bottom="1" header="0.5" footer="0.5"/>
  <pageSetup orientation="landscape" r:id="rId1"/>
  <headerFooter alignWithMargins="0">
    <oddFooter>&amp;C&amp;P</oddFooter>
  </headerFooter>
  <rowBreaks count="1" manualBreakCount="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20"/>
    <pageSetUpPr fitToPage="1"/>
  </sheetPr>
  <dimension ref="A1:J35"/>
  <sheetViews>
    <sheetView zoomScaleNormal="100" workbookViewId="0">
      <selection activeCell="A2" sqref="A2:G3"/>
    </sheetView>
  </sheetViews>
  <sheetFormatPr defaultColWidth="9.1796875" defaultRowHeight="14.5" x14ac:dyDescent="0.35"/>
  <cols>
    <col min="1" max="1" width="9.1796875" style="54" customWidth="1"/>
    <col min="2" max="4" width="9.1796875" style="54"/>
    <col min="5" max="7" width="14.26953125" style="54" customWidth="1"/>
    <col min="8" max="16384" width="9.1796875" style="54"/>
  </cols>
  <sheetData>
    <row r="1" spans="1:10" ht="18.5" x14ac:dyDescent="0.45">
      <c r="A1" s="479" t="s">
        <v>201</v>
      </c>
      <c r="B1" s="479"/>
      <c r="C1" s="479"/>
      <c r="D1" s="479"/>
      <c r="E1" s="479"/>
      <c r="F1" s="479"/>
      <c r="G1" s="479"/>
      <c r="H1" s="127"/>
      <c r="I1" s="127"/>
      <c r="J1" s="127"/>
    </row>
    <row r="2" spans="1:10" x14ac:dyDescent="0.35">
      <c r="A2" s="477">
        <f>Plan</f>
        <v>0</v>
      </c>
      <c r="B2" s="477"/>
      <c r="C2" s="477"/>
      <c r="D2" s="477"/>
      <c r="E2" s="477"/>
      <c r="F2" s="477"/>
      <c r="G2" s="477"/>
      <c r="H2" s="128"/>
      <c r="I2" s="128"/>
      <c r="J2" s="128"/>
    </row>
    <row r="3" spans="1:10" ht="15" thickBot="1" x14ac:dyDescent="0.4">
      <c r="A3" s="481" t="str">
        <f>IF(Option="1, 3, 2", Code&amp;"1, "&amp;Code&amp;"3, "&amp;Code&amp;"2", IF(Option="4, 6, 5", Code&amp;"4, "&amp;Code&amp;"6, "&amp;Code&amp;"5", ""))</f>
        <v/>
      </c>
      <c r="B3" s="481"/>
      <c r="C3" s="481"/>
      <c r="D3" s="481"/>
      <c r="E3" s="481"/>
      <c r="F3" s="481"/>
      <c r="G3" s="481"/>
      <c r="H3" s="128"/>
      <c r="I3" s="128"/>
      <c r="J3" s="128"/>
    </row>
    <row r="4" spans="1:10" ht="15" thickBot="1" x14ac:dyDescent="0.4">
      <c r="A4" s="61"/>
      <c r="B4" s="62"/>
      <c r="C4" s="62"/>
      <c r="D4" s="62"/>
      <c r="E4" s="129" t="s">
        <v>33</v>
      </c>
      <c r="F4" s="129" t="s">
        <v>190</v>
      </c>
      <c r="G4" s="130" t="s">
        <v>34</v>
      </c>
    </row>
    <row r="5" spans="1:10" x14ac:dyDescent="0.35">
      <c r="A5" s="64" t="str">
        <f>"A.   "&amp;year-1&amp;" Rates"</f>
        <v>A.   2020 Rates</v>
      </c>
      <c r="B5" s="65"/>
      <c r="C5" s="65"/>
      <c r="D5" s="65"/>
      <c r="E5" s="235">
        <f>'Rate Proposal - 5 year'!C37</f>
        <v>0</v>
      </c>
      <c r="F5" s="235">
        <f>'Rate Proposal - 5 year'!C38</f>
        <v>0</v>
      </c>
      <c r="G5" s="237">
        <f>'Rate Proposal - 5 year'!C39</f>
        <v>0</v>
      </c>
    </row>
    <row r="6" spans="1:10" x14ac:dyDescent="0.35">
      <c r="A6" s="64"/>
      <c r="B6" s="65"/>
      <c r="C6" s="65"/>
      <c r="D6" s="65"/>
      <c r="E6" s="133"/>
      <c r="F6" s="133"/>
      <c r="G6" s="134"/>
    </row>
    <row r="7" spans="1:10" x14ac:dyDescent="0.35">
      <c r="A7" s="64" t="str">
        <f>"B.   "&amp;year&amp;" Rates"</f>
        <v>B.   2021 Rates</v>
      </c>
      <c r="B7" s="65"/>
      <c r="C7" s="65"/>
      <c r="D7" s="65"/>
      <c r="E7" s="133"/>
      <c r="F7" s="133"/>
      <c r="G7" s="134"/>
    </row>
    <row r="8" spans="1:10" x14ac:dyDescent="0.35">
      <c r="A8" s="64"/>
      <c r="B8" s="65"/>
      <c r="C8" s="65"/>
      <c r="D8" s="65"/>
      <c r="E8" s="133"/>
      <c r="F8" s="133"/>
      <c r="G8" s="134"/>
    </row>
    <row r="9" spans="1:10" x14ac:dyDescent="0.35">
      <c r="A9" s="64" t="str">
        <f>"    1.  Experience Change"</f>
        <v xml:space="preserve">    1.  Experience Change</v>
      </c>
      <c r="B9" s="65"/>
      <c r="C9" s="65"/>
      <c r="D9" s="65"/>
      <c r="E9" s="131" t="e">
        <f>E15-E5-E11-E13</f>
        <v>#DIV/0!</v>
      </c>
      <c r="F9" s="131" t="e">
        <f>F15-F5-F11-F13</f>
        <v>#DIV/0!</v>
      </c>
      <c r="G9" s="132" t="e">
        <f>G15-G5-G11-G13</f>
        <v>#DIV/0!</v>
      </c>
    </row>
    <row r="10" spans="1:10" x14ac:dyDescent="0.35">
      <c r="A10" s="64"/>
      <c r="B10" s="65"/>
      <c r="C10" s="65"/>
      <c r="D10" s="65"/>
      <c r="E10" s="133"/>
      <c r="F10" s="133"/>
      <c r="G10" s="134"/>
    </row>
    <row r="11" spans="1:10" x14ac:dyDescent="0.35">
      <c r="A11" s="64" t="str">
        <f>"    2.  Benefit Change"</f>
        <v xml:space="preserve">    2.  Benefit Change</v>
      </c>
      <c r="B11" s="65"/>
      <c r="C11" s="65"/>
      <c r="D11" s="65"/>
      <c r="E11" s="131" t="e">
        <f>IF('Rate Proposal - 5 year'!$D$119=0,E5*'Rate Proposal - 5 year'!$D$120-'Table2 - 5 year'!E5,'Table2 - 5 year'!E5*'Rate Proposal - 5 year'!$D$119-'Table2 - 5 year'!E5)</f>
        <v>#DIV/0!</v>
      </c>
      <c r="F11" s="131" t="e">
        <f>IF('Rate Proposal - 5 year'!$D$119=0,F5*'Rate Proposal - 5 year'!$D$120-'Table2 - 5 year'!F5,'Table2 - 5 year'!F5*'Rate Proposal - 5 year'!$D$119-'Table2 - 5 year'!F5)</f>
        <v>#DIV/0!</v>
      </c>
      <c r="G11" s="132" t="e">
        <f>IF('Rate Proposal - 5 year'!$D$119=0,G5*'Rate Proposal - 5 year'!$D$120-'Table2 - 5 year'!G5,'Table2 - 5 year'!G5*'Rate Proposal - 5 year'!$D$119-'Table2 - 5 year'!G5)</f>
        <v>#DIV/0!</v>
      </c>
    </row>
    <row r="12" spans="1:10" x14ac:dyDescent="0.35">
      <c r="A12" s="64"/>
      <c r="B12" s="65"/>
      <c r="C12" s="65"/>
      <c r="D12" s="65"/>
      <c r="E12" s="131"/>
      <c r="F12" s="131"/>
      <c r="G12" s="132"/>
    </row>
    <row r="13" spans="1:10" x14ac:dyDescent="0.35">
      <c r="A13" s="64" t="str">
        <f>"    3.  Other Changes"</f>
        <v xml:space="preserve">    3.  Other Changes</v>
      </c>
      <c r="B13" s="65"/>
      <c r="C13" s="65"/>
      <c r="D13" s="65"/>
      <c r="E13" s="131">
        <f>-E5*(1-'Rate Proposal - 5 year'!$D$148)</f>
        <v>0</v>
      </c>
      <c r="F13" s="131">
        <f>-F5*(1-'Rate Proposal - 5 year'!$D$148)</f>
        <v>0</v>
      </c>
      <c r="G13" s="132">
        <f>-G5*(1-'Rate Proposal - 5 year'!$D$148)</f>
        <v>0</v>
      </c>
    </row>
    <row r="14" spans="1:10" x14ac:dyDescent="0.35">
      <c r="A14" s="64"/>
      <c r="B14" s="65"/>
      <c r="C14" s="65"/>
      <c r="D14" s="65"/>
      <c r="E14" s="133"/>
      <c r="F14" s="133"/>
      <c r="G14" s="134"/>
    </row>
    <row r="15" spans="1:10" x14ac:dyDescent="0.35">
      <c r="A15" s="64" t="str">
        <f>"    4.  Total ( " &amp; year &amp; " Rates)"</f>
        <v xml:space="preserve">    4.  Total ( 2021 Rates)</v>
      </c>
      <c r="B15" s="65"/>
      <c r="C15" s="65"/>
      <c r="D15" s="65"/>
      <c r="E15" s="235">
        <f>'Rate Proposal - 5 year'!C42</f>
        <v>0</v>
      </c>
      <c r="F15" s="235">
        <f>'Rate Proposal - 5 year'!C43</f>
        <v>0</v>
      </c>
      <c r="G15" s="237">
        <f>'Rate Proposal - 5 year'!C44</f>
        <v>0</v>
      </c>
    </row>
    <row r="16" spans="1:10" x14ac:dyDescent="0.35">
      <c r="A16" s="64"/>
      <c r="B16" s="65"/>
      <c r="C16" s="65"/>
      <c r="D16" s="65"/>
      <c r="E16" s="133"/>
      <c r="F16" s="133"/>
      <c r="G16" s="134"/>
    </row>
    <row r="17" spans="1:7" x14ac:dyDescent="0.35">
      <c r="A17" s="64" t="str">
        <f>"C.   Percent Change from "&amp;year-1&amp;" to "&amp; year</f>
        <v>C.   Percent Change from 2020 to 2021</v>
      </c>
      <c r="B17" s="65"/>
      <c r="C17" s="65"/>
      <c r="D17" s="65"/>
      <c r="E17" s="133"/>
      <c r="F17" s="133"/>
      <c r="G17" s="134"/>
    </row>
    <row r="18" spans="1:7" x14ac:dyDescent="0.35">
      <c r="A18" s="64"/>
      <c r="B18" s="65"/>
      <c r="C18" s="65"/>
      <c r="D18" s="65"/>
      <c r="E18" s="133"/>
      <c r="F18" s="133"/>
      <c r="G18" s="134"/>
    </row>
    <row r="19" spans="1:7" x14ac:dyDescent="0.35">
      <c r="A19" s="64" t="str">
        <f>"    1.  Experience Change"</f>
        <v xml:space="preserve">    1.  Experience Change</v>
      </c>
      <c r="B19" s="65"/>
      <c r="C19" s="65"/>
      <c r="D19" s="65"/>
      <c r="E19" s="135" t="e">
        <f>E9/$E$5</f>
        <v>#DIV/0!</v>
      </c>
      <c r="F19" s="135" t="e">
        <f>F9/$F$5</f>
        <v>#DIV/0!</v>
      </c>
      <c r="G19" s="136" t="e">
        <f>G9/$G$5</f>
        <v>#DIV/0!</v>
      </c>
    </row>
    <row r="20" spans="1:7" x14ac:dyDescent="0.35">
      <c r="A20" s="64"/>
      <c r="B20" s="65"/>
      <c r="C20" s="65"/>
      <c r="D20" s="65"/>
      <c r="E20" s="135"/>
      <c r="F20" s="135"/>
      <c r="G20" s="136"/>
    </row>
    <row r="21" spans="1:7" x14ac:dyDescent="0.35">
      <c r="A21" s="64" t="str">
        <f>"    2.  Benefit Change"</f>
        <v xml:space="preserve">    2.  Benefit Change</v>
      </c>
      <c r="B21" s="65"/>
      <c r="C21" s="65"/>
      <c r="D21" s="65"/>
      <c r="E21" s="135" t="e">
        <f>E11/$E$5</f>
        <v>#DIV/0!</v>
      </c>
      <c r="F21" s="135" t="e">
        <f>F11/$F$5</f>
        <v>#DIV/0!</v>
      </c>
      <c r="G21" s="136" t="e">
        <f>G11/$G$5</f>
        <v>#DIV/0!</v>
      </c>
    </row>
    <row r="22" spans="1:7" x14ac:dyDescent="0.35">
      <c r="A22" s="64"/>
      <c r="B22" s="65"/>
      <c r="C22" s="65"/>
      <c r="D22" s="65"/>
      <c r="E22" s="135"/>
      <c r="F22" s="135"/>
      <c r="G22" s="136"/>
    </row>
    <row r="23" spans="1:7" x14ac:dyDescent="0.35">
      <c r="A23" s="64" t="str">
        <f>"    3.  Other Changes"</f>
        <v xml:space="preserve">    3.  Other Changes</v>
      </c>
      <c r="B23" s="65"/>
      <c r="C23" s="65"/>
      <c r="D23" s="65"/>
      <c r="E23" s="135" t="e">
        <f>E13/$E$5</f>
        <v>#DIV/0!</v>
      </c>
      <c r="F23" s="135" t="e">
        <f>F13/$F$5</f>
        <v>#DIV/0!</v>
      </c>
      <c r="G23" s="136" t="e">
        <f>G13/$G$5</f>
        <v>#DIV/0!</v>
      </c>
    </row>
    <row r="24" spans="1:7" x14ac:dyDescent="0.35">
      <c r="A24" s="64"/>
      <c r="B24" s="65"/>
      <c r="C24" s="65"/>
      <c r="D24" s="65"/>
      <c r="E24" s="135"/>
      <c r="F24" s="135"/>
      <c r="G24" s="136"/>
    </row>
    <row r="25" spans="1:7" ht="15" thickBot="1" x14ac:dyDescent="0.4">
      <c r="A25" s="70" t="str">
        <f>"    4.  Total Changes"</f>
        <v xml:space="preserve">    4.  Total Changes</v>
      </c>
      <c r="B25" s="71"/>
      <c r="C25" s="71"/>
      <c r="D25" s="71"/>
      <c r="E25" s="238" t="e">
        <f>E15/$E$5-1</f>
        <v>#DIV/0!</v>
      </c>
      <c r="F25" s="238" t="e">
        <f>F15/$F$5-1</f>
        <v>#DIV/0!</v>
      </c>
      <c r="G25" s="239" t="e">
        <f>G15/$G$5-1</f>
        <v>#DIV/0!</v>
      </c>
    </row>
    <row r="26" spans="1:7" ht="15" thickBot="1" x14ac:dyDescent="0.4"/>
    <row r="27" spans="1:7" ht="15" thickBot="1" x14ac:dyDescent="0.4">
      <c r="A27" s="285" t="s">
        <v>202</v>
      </c>
      <c r="B27" s="286"/>
      <c r="C27" s="286"/>
      <c r="D27" s="286"/>
      <c r="E27" s="286"/>
      <c r="F27" s="286"/>
      <c r="G27" s="259">
        <f>year</f>
        <v>2021</v>
      </c>
    </row>
    <row r="28" spans="1:7" x14ac:dyDescent="0.35">
      <c r="A28" s="252" t="str">
        <f>"Incurred Claims"</f>
        <v>Incurred Claims</v>
      </c>
      <c r="B28" s="280"/>
      <c r="C28" s="280"/>
      <c r="D28" s="280"/>
      <c r="E28" s="280"/>
      <c r="F28" s="280"/>
      <c r="G28" s="281" t="e">
        <f>'Rate Proposal - 5 year'!G158</f>
        <v>#DIV/0!</v>
      </c>
    </row>
    <row r="29" spans="1:7" x14ac:dyDescent="0.35">
      <c r="A29" s="64" t="str">
        <f>"Incurred Expenses"</f>
        <v>Incurred Expenses</v>
      </c>
      <c r="B29" s="3"/>
      <c r="C29" s="3"/>
      <c r="D29" s="3"/>
      <c r="E29" s="3"/>
      <c r="F29" s="3"/>
      <c r="G29" s="282" t="e">
        <f>'Rate Proposal - 5 year'!C187+'Rate Proposal - 5 year'!E180</f>
        <v>#DIV/0!</v>
      </c>
    </row>
    <row r="30" spans="1:7" x14ac:dyDescent="0.35">
      <c r="A30" s="64" t="str">
        <f>"Estimated Service Charge"</f>
        <v>Estimated Service Charge</v>
      </c>
      <c r="B30" s="3"/>
      <c r="C30" s="3"/>
      <c r="D30" s="3"/>
      <c r="E30" s="3"/>
      <c r="F30" s="3"/>
      <c r="G30" s="282">
        <f>'Rate Proposal - 5 year'!F189</f>
        <v>0</v>
      </c>
    </row>
    <row r="31" spans="1:7" ht="15" thickBot="1" x14ac:dyDescent="0.4">
      <c r="A31" s="70" t="str">
        <f>"Estimated Cost of Facility Capital"</f>
        <v>Estimated Cost of Facility Capital</v>
      </c>
      <c r="B31" s="283"/>
      <c r="C31" s="283"/>
      <c r="D31" s="283"/>
      <c r="E31" s="283"/>
      <c r="F31" s="283"/>
      <c r="G31" s="284">
        <f>'Rate Proposal - 5 year'!F190</f>
        <v>0</v>
      </c>
    </row>
    <row r="32" spans="1:7" ht="15" thickBot="1" x14ac:dyDescent="0.4"/>
    <row r="33" spans="1:7" ht="15" thickBot="1" x14ac:dyDescent="0.4">
      <c r="A33" s="285" t="s">
        <v>357</v>
      </c>
      <c r="B33" s="286"/>
      <c r="C33" s="286"/>
      <c r="D33" s="286"/>
      <c r="E33" s="286"/>
      <c r="F33" s="286"/>
      <c r="G33" s="259">
        <f>year</f>
        <v>2021</v>
      </c>
    </row>
    <row r="34" spans="1:7" x14ac:dyDescent="0.35">
      <c r="A34" s="252" t="s">
        <v>358</v>
      </c>
      <c r="B34" s="280"/>
      <c r="C34" s="280"/>
      <c r="D34" s="280"/>
      <c r="E34" s="280"/>
      <c r="F34" s="280"/>
      <c r="G34" s="281">
        <f>'Table1 - 5 year'!I7/12</f>
        <v>0</v>
      </c>
    </row>
    <row r="35" spans="1:7" ht="15" thickBot="1" x14ac:dyDescent="0.4">
      <c r="A35" s="70" t="s">
        <v>359</v>
      </c>
      <c r="B35" s="283"/>
      <c r="C35" s="283"/>
      <c r="D35" s="283"/>
      <c r="E35" s="283"/>
      <c r="F35" s="283"/>
      <c r="G35" s="284" t="e">
        <f>'Table1 - 5 year'!I14/12</f>
        <v>#DIV/0!</v>
      </c>
    </row>
  </sheetData>
  <sheetProtection algorithmName="SHA-512" hashValue="j4tVHSLwVoYz/qaev6oNHeJiaOB6jjXDUn2aXGeX5enK9uiahE8cG2jqs8DeoGy8BfwuAmzbMbbUDoxyLxP3Gw==" saltValue="TA05S8m5dqkVaL1pQMh04w==" spinCount="100000" sheet="1" objects="1" scenarios="1"/>
  <mergeCells count="3">
    <mergeCell ref="A1:G1"/>
    <mergeCell ref="A2:G2"/>
    <mergeCell ref="A3:G3"/>
  </mergeCells>
  <phoneticPr fontId="3" type="noConversion"/>
  <printOptions horizontalCentered="1"/>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29"/>
  </sheetPr>
  <dimension ref="A1:V302"/>
  <sheetViews>
    <sheetView zoomScaleNormal="100" workbookViewId="0">
      <selection activeCell="A2" sqref="A2:K2"/>
    </sheetView>
  </sheetViews>
  <sheetFormatPr defaultColWidth="9.1796875" defaultRowHeight="14.5" x14ac:dyDescent="0.35"/>
  <cols>
    <col min="1" max="9" width="16.7265625" style="54" customWidth="1"/>
    <col min="10" max="10" width="7.26953125" style="54" customWidth="1"/>
    <col min="11" max="13" width="9.1796875" style="54" customWidth="1"/>
    <col min="14" max="17" width="9.1796875" style="54"/>
    <col min="18" max="18" width="9.1796875" style="54" customWidth="1"/>
    <col min="19" max="21" width="9.1796875" style="54" hidden="1" customWidth="1"/>
    <col min="22" max="22" width="9.1796875" style="54" customWidth="1"/>
    <col min="23" max="16384" width="9.1796875" style="54"/>
  </cols>
  <sheetData>
    <row r="1" spans="1:22" ht="23.5" x14ac:dyDescent="0.55000000000000004">
      <c r="A1" s="469" t="s">
        <v>171</v>
      </c>
      <c r="B1" s="469"/>
      <c r="C1" s="469"/>
      <c r="D1" s="469"/>
      <c r="E1" s="469"/>
      <c r="F1" s="469"/>
      <c r="G1" s="469"/>
      <c r="H1" s="469"/>
      <c r="I1" s="469"/>
      <c r="J1" s="469"/>
      <c r="K1" s="469"/>
      <c r="R1" s="76"/>
      <c r="S1" s="54" t="s">
        <v>76</v>
      </c>
      <c r="T1" s="54">
        <f>CHOOSE(MATCH(E205,S1:S13,0),1,2,3,4,5,6,7,8,9,10,11,12,13)</f>
        <v>13</v>
      </c>
      <c r="U1" s="54" t="b">
        <f>IF(AND(T1&gt;12,T2&gt;12,T3&gt;12),TRUE,FALSE)</f>
        <v>1</v>
      </c>
      <c r="V1" s="4"/>
    </row>
    <row r="2" spans="1:22" ht="15.75" customHeight="1" x14ac:dyDescent="0.35">
      <c r="A2" s="470" t="str">
        <f xml:space="preserve"> Plan &amp; " - " &amp;IF(Option="1, 3, 2", Code&amp;"1, "&amp;Code&amp;"3, "&amp;Code&amp;"2", IF(Option="4, 6, 5", Code&amp;"4, "&amp;Code&amp;"6, "&amp;Code&amp;"5", ""))</f>
        <v xml:space="preserve"> - </v>
      </c>
      <c r="B2" s="470"/>
      <c r="C2" s="470"/>
      <c r="D2" s="470"/>
      <c r="E2" s="470"/>
      <c r="F2" s="470"/>
      <c r="G2" s="470"/>
      <c r="H2" s="470"/>
      <c r="I2" s="470"/>
      <c r="J2" s="470"/>
      <c r="K2" s="470"/>
      <c r="R2" s="76"/>
      <c r="S2" s="54" t="s">
        <v>77</v>
      </c>
      <c r="T2" s="54">
        <f>CHOOSE(MATCH(E207,S1:S13,0),1,2,3,4,5,6,7,8,9,10,11,12,13)</f>
        <v>13</v>
      </c>
      <c r="V2" s="4"/>
    </row>
    <row r="3" spans="1:22" ht="15.75" customHeight="1" x14ac:dyDescent="0.35">
      <c r="R3" s="76"/>
      <c r="S3" s="54" t="s">
        <v>78</v>
      </c>
      <c r="T3" s="54">
        <f>CHOOSE(MATCH(E209,S1:S13,0),1,2,3,4,5,6,7,8,9,10,11,12,13)</f>
        <v>13</v>
      </c>
      <c r="V3" s="4"/>
    </row>
    <row r="4" spans="1:22" ht="15.75" customHeight="1" x14ac:dyDescent="0.35">
      <c r="A4" s="32" t="s">
        <v>208</v>
      </c>
      <c r="R4" s="76"/>
      <c r="S4" s="54" t="s">
        <v>79</v>
      </c>
      <c r="T4" s="54">
        <f>CHOOSE(MATCH(E211,S1:S13,0),1,2,3,4,5,6,7,8,9,10,11,12,13)</f>
        <v>13</v>
      </c>
      <c r="U4" s="54" t="b">
        <f>IF(AND(T4&gt;12,T5&gt;12,T6&gt;12),TRUE,FALSE)</f>
        <v>1</v>
      </c>
    </row>
    <row r="5" spans="1:22" ht="15.75" customHeight="1" thickBot="1" x14ac:dyDescent="0.4">
      <c r="D5" s="471" t="str">
        <f>year-3 &amp; " Accounting Statement"</f>
        <v>2018 Accounting Statement</v>
      </c>
      <c r="E5" s="471"/>
      <c r="F5" s="471"/>
      <c r="G5" s="77"/>
      <c r="H5" s="472" t="str">
        <f>year-2 &amp; " Accounting Statement"</f>
        <v>2019 Accounting Statement</v>
      </c>
      <c r="I5" s="471"/>
      <c r="J5" s="471"/>
      <c r="K5" s="78"/>
      <c r="R5" s="76"/>
      <c r="S5" s="54" t="s">
        <v>80</v>
      </c>
      <c r="T5" s="54">
        <f>CHOOSE(MATCH(E213,S1:S13,0),1,2,3,4,5,6,7,8,9,10,11,12,13)</f>
        <v>13</v>
      </c>
    </row>
    <row r="6" spans="1:22" ht="15.75" customHeight="1" thickTop="1" x14ac:dyDescent="0.35">
      <c r="B6" s="9" t="s">
        <v>291</v>
      </c>
      <c r="G6" s="79"/>
      <c r="H6" s="79"/>
      <c r="I6" s="65"/>
      <c r="J6" s="65"/>
      <c r="R6" s="76"/>
      <c r="S6" s="54" t="s">
        <v>81</v>
      </c>
      <c r="T6" s="54">
        <f>CHOOSE(MATCH(E215,S1:S13,0),1,2,3,4,5,6,7,8,9,10,11,12,13)</f>
        <v>13</v>
      </c>
    </row>
    <row r="7" spans="1:22" ht="15.75" customHeight="1" thickBot="1" x14ac:dyDescent="0.4">
      <c r="B7" s="9" t="s">
        <v>292</v>
      </c>
      <c r="G7" s="79"/>
      <c r="H7" s="79"/>
      <c r="I7" s="65"/>
      <c r="J7" s="65"/>
      <c r="R7" s="76"/>
      <c r="S7" s="54" t="s">
        <v>82</v>
      </c>
    </row>
    <row r="8" spans="1:22" ht="15.75" customHeight="1" thickBot="1" x14ac:dyDescent="0.4">
      <c r="B8" s="7" t="s">
        <v>296</v>
      </c>
      <c r="E8" s="80"/>
      <c r="F8" s="81"/>
      <c r="G8" s="79"/>
      <c r="H8" s="79"/>
      <c r="I8" s="80"/>
      <c r="J8" s="81"/>
      <c r="R8" s="76"/>
      <c r="S8" s="54" t="s">
        <v>83</v>
      </c>
    </row>
    <row r="9" spans="1:22" ht="15.75" customHeight="1" thickBot="1" x14ac:dyDescent="0.4">
      <c r="B9" s="7" t="s">
        <v>297</v>
      </c>
      <c r="E9" s="80"/>
      <c r="F9" s="81"/>
      <c r="G9" s="79"/>
      <c r="H9" s="79"/>
      <c r="I9" s="80"/>
      <c r="J9" s="81"/>
      <c r="R9" s="76"/>
      <c r="S9" s="54" t="s">
        <v>84</v>
      </c>
    </row>
    <row r="10" spans="1:22" ht="15.75" customHeight="1" thickBot="1" x14ac:dyDescent="0.4">
      <c r="B10" s="9" t="s">
        <v>293</v>
      </c>
      <c r="G10" s="79"/>
      <c r="H10" s="79"/>
      <c r="I10" s="65"/>
      <c r="J10" s="65"/>
      <c r="R10" s="76"/>
      <c r="S10" s="54" t="s">
        <v>85</v>
      </c>
    </row>
    <row r="11" spans="1:22" ht="15.75" customHeight="1" thickBot="1" x14ac:dyDescent="0.4">
      <c r="B11" s="7" t="s">
        <v>296</v>
      </c>
      <c r="E11" s="80"/>
      <c r="F11" s="81"/>
      <c r="G11" s="79"/>
      <c r="H11" s="79"/>
      <c r="I11" s="82"/>
      <c r="J11" s="65"/>
      <c r="R11" s="76"/>
      <c r="S11" s="54" t="s">
        <v>86</v>
      </c>
    </row>
    <row r="12" spans="1:22" ht="15.75" customHeight="1" thickBot="1" x14ac:dyDescent="0.4">
      <c r="B12" s="7" t="s">
        <v>297</v>
      </c>
      <c r="E12" s="80"/>
      <c r="F12" s="81"/>
      <c r="G12" s="79"/>
      <c r="H12" s="79"/>
      <c r="I12" s="82"/>
      <c r="J12" s="65"/>
      <c r="R12" s="76"/>
      <c r="S12" s="54" t="s">
        <v>87</v>
      </c>
    </row>
    <row r="13" spans="1:22" ht="15.75" customHeight="1" thickBot="1" x14ac:dyDescent="0.4">
      <c r="B13" s="9" t="s">
        <v>294</v>
      </c>
      <c r="G13" s="79"/>
      <c r="H13" s="79"/>
      <c r="I13" s="65"/>
      <c r="J13" s="65"/>
      <c r="R13" s="76"/>
      <c r="S13" s="54" t="s">
        <v>75</v>
      </c>
    </row>
    <row r="14" spans="1:22" ht="15.75" customHeight="1" thickBot="1" x14ac:dyDescent="0.4">
      <c r="B14" s="7" t="s">
        <v>296</v>
      </c>
      <c r="E14" s="82"/>
      <c r="G14" s="79"/>
      <c r="H14" s="79"/>
      <c r="I14" s="82"/>
      <c r="J14" s="65"/>
      <c r="R14" s="76"/>
    </row>
    <row r="15" spans="1:22" ht="15.75" customHeight="1" thickBot="1" x14ac:dyDescent="0.4">
      <c r="B15" s="7" t="s">
        <v>297</v>
      </c>
      <c r="E15" s="82"/>
      <c r="G15" s="79"/>
      <c r="H15" s="79"/>
      <c r="I15" s="82"/>
      <c r="J15" s="65"/>
      <c r="R15" s="76"/>
    </row>
    <row r="16" spans="1:22" ht="15.75" customHeight="1" thickBot="1" x14ac:dyDescent="0.4">
      <c r="B16" s="9" t="s">
        <v>295</v>
      </c>
      <c r="E16" s="82"/>
      <c r="G16" s="79"/>
      <c r="H16" s="79"/>
      <c r="I16" s="82"/>
      <c r="J16" s="65"/>
      <c r="R16" s="76"/>
    </row>
    <row r="17" spans="1:18" ht="15.75" customHeight="1" thickBot="1" x14ac:dyDescent="0.4">
      <c r="B17" s="7"/>
      <c r="G17" s="79"/>
      <c r="H17" s="79"/>
      <c r="I17" s="65"/>
      <c r="J17" s="65"/>
      <c r="R17" s="76"/>
    </row>
    <row r="18" spans="1:18" ht="15.75" customHeight="1" thickBot="1" x14ac:dyDescent="0.4">
      <c r="B18" s="9" t="s">
        <v>298</v>
      </c>
      <c r="G18" s="79"/>
      <c r="H18" s="79"/>
      <c r="I18" s="82"/>
      <c r="J18" s="65"/>
      <c r="R18" s="76"/>
    </row>
    <row r="19" spans="1:18" ht="15.75" customHeight="1" thickBot="1" x14ac:dyDescent="0.4">
      <c r="B19" s="7"/>
      <c r="G19" s="79"/>
      <c r="H19" s="79"/>
      <c r="I19" s="65"/>
      <c r="J19" s="65"/>
      <c r="R19" s="76"/>
    </row>
    <row r="20" spans="1:18" ht="15.75" customHeight="1" thickBot="1" x14ac:dyDescent="0.4">
      <c r="B20" s="9" t="s">
        <v>299</v>
      </c>
      <c r="G20" s="79"/>
      <c r="H20" s="79"/>
      <c r="I20" s="82"/>
      <c r="J20" s="65"/>
      <c r="R20" s="76"/>
    </row>
    <row r="21" spans="1:18" ht="15.75" customHeight="1" x14ac:dyDescent="0.35">
      <c r="R21" s="76"/>
    </row>
    <row r="22" spans="1:18" ht="15.75" customHeight="1" x14ac:dyDescent="0.35">
      <c r="A22" s="32" t="str">
        <f>"2. Reconcile your " &amp; year-3 &amp; " and " &amp; year-2 &amp; " Premium Income"</f>
        <v>2. Reconcile your 2018 and 2019 Premium Income</v>
      </c>
    </row>
    <row r="23" spans="1:18" ht="15.75" customHeight="1" x14ac:dyDescent="0.35"/>
    <row r="24" spans="1:18" ht="15.75" customHeight="1" x14ac:dyDescent="0.35">
      <c r="C24" s="83" t="s">
        <v>26</v>
      </c>
      <c r="D24" s="16" t="s">
        <v>74</v>
      </c>
      <c r="F24" s="473" t="s">
        <v>29</v>
      </c>
      <c r="G24" s="473"/>
      <c r="H24" s="83" t="s">
        <v>32</v>
      </c>
      <c r="I24" s="454"/>
      <c r="J24" s="454"/>
    </row>
    <row r="25" spans="1:18" ht="15.75" customHeight="1" x14ac:dyDescent="0.35">
      <c r="C25" s="84" t="s">
        <v>27</v>
      </c>
      <c r="D25" s="84" t="s">
        <v>28</v>
      </c>
      <c r="F25" s="85" t="s">
        <v>30</v>
      </c>
      <c r="G25" s="85" t="s">
        <v>31</v>
      </c>
      <c r="H25" s="86" t="s">
        <v>28</v>
      </c>
      <c r="I25" s="84"/>
      <c r="J25" s="84"/>
    </row>
    <row r="26" spans="1:18" ht="15.75" customHeight="1" thickBot="1" x14ac:dyDescent="0.4">
      <c r="C26" s="84"/>
      <c r="D26" s="84"/>
      <c r="F26" s="84"/>
      <c r="G26" s="84"/>
      <c r="H26" s="84"/>
      <c r="I26" s="87"/>
      <c r="J26" s="87"/>
    </row>
    <row r="27" spans="1:18" ht="15.75" customHeight="1" thickBot="1" x14ac:dyDescent="0.4">
      <c r="A27" s="32" t="str">
        <f>year - 3 &amp; ":"</f>
        <v>2018:</v>
      </c>
      <c r="B27" s="54" t="s">
        <v>33</v>
      </c>
      <c r="C27" s="88"/>
      <c r="D27" s="89"/>
      <c r="E27" s="90" t="s">
        <v>36</v>
      </c>
      <c r="F27" s="56">
        <f>$C27*26*$D27</f>
        <v>0</v>
      </c>
      <c r="H27" s="91" t="e">
        <f>ROUND($D27*($G$30/$F$30),0)</f>
        <v>#DIV/0!</v>
      </c>
      <c r="I27" s="87"/>
      <c r="J27" s="87"/>
    </row>
    <row r="28" spans="1:18" ht="15.75" customHeight="1" thickBot="1" x14ac:dyDescent="0.4">
      <c r="A28" s="32"/>
      <c r="B28" s="54" t="s">
        <v>190</v>
      </c>
      <c r="C28" s="88"/>
      <c r="D28" s="89"/>
      <c r="E28" s="399" t="s">
        <v>36</v>
      </c>
      <c r="F28" s="56">
        <f>$C28*26*$D28</f>
        <v>0</v>
      </c>
      <c r="H28" s="91" t="e">
        <f>ROUND($D28*($G$30/$F$30),0)</f>
        <v>#DIV/0!</v>
      </c>
      <c r="I28" s="87"/>
      <c r="J28" s="87"/>
    </row>
    <row r="29" spans="1:18" ht="15.75" customHeight="1" thickBot="1" x14ac:dyDescent="0.4">
      <c r="B29" s="54" t="s">
        <v>34</v>
      </c>
      <c r="C29" s="88"/>
      <c r="D29" s="89"/>
      <c r="E29" s="90" t="s">
        <v>36</v>
      </c>
      <c r="F29" s="92">
        <f>$C29*26*$D29</f>
        <v>0</v>
      </c>
      <c r="G29" s="71"/>
      <c r="H29" s="93" t="e">
        <f>ROUND($D29*($G$30/$F$30),0)</f>
        <v>#DIV/0!</v>
      </c>
      <c r="I29" s="87"/>
      <c r="J29" s="87"/>
    </row>
    <row r="30" spans="1:18" ht="15.75" customHeight="1" x14ac:dyDescent="0.35">
      <c r="B30" s="32" t="s">
        <v>35</v>
      </c>
      <c r="D30" s="94">
        <f>SUM(D27:D29)</f>
        <v>0</v>
      </c>
      <c r="E30" s="90"/>
      <c r="F30" s="95">
        <f>SUM(F27:F29)</f>
        <v>0</v>
      </c>
      <c r="G30" s="96">
        <f>E8-E11+E14</f>
        <v>0</v>
      </c>
      <c r="H30" s="94" t="e">
        <f>SUM(H27:H29)</f>
        <v>#DIV/0!</v>
      </c>
      <c r="I30" s="87"/>
      <c r="J30" s="87"/>
    </row>
    <row r="31" spans="1:18" ht="3" customHeight="1" thickBot="1" x14ac:dyDescent="0.4">
      <c r="E31" s="90"/>
      <c r="I31" s="87"/>
      <c r="J31" s="87"/>
    </row>
    <row r="32" spans="1:18" ht="15.75" customHeight="1" thickBot="1" x14ac:dyDescent="0.4">
      <c r="A32" s="32" t="str">
        <f>year - 2 &amp; ":"</f>
        <v>2019:</v>
      </c>
      <c r="B32" s="54" t="s">
        <v>33</v>
      </c>
      <c r="C32" s="88"/>
      <c r="D32" s="89"/>
      <c r="E32" s="90" t="s">
        <v>37</v>
      </c>
      <c r="F32" s="56">
        <f>$C32*26*$D32</f>
        <v>0</v>
      </c>
      <c r="H32" s="97" t="e">
        <f>ROUND($D32*($G$35/$F$35),0)</f>
        <v>#DIV/0!</v>
      </c>
      <c r="I32" s="98"/>
      <c r="J32" s="98"/>
    </row>
    <row r="33" spans="1:13" ht="15.75" customHeight="1" thickBot="1" x14ac:dyDescent="0.4">
      <c r="A33" s="32"/>
      <c r="B33" s="54" t="s">
        <v>190</v>
      </c>
      <c r="C33" s="88"/>
      <c r="D33" s="89"/>
      <c r="E33" s="273" t="s">
        <v>37</v>
      </c>
      <c r="F33" s="56">
        <f>$C33*26*$D33</f>
        <v>0</v>
      </c>
      <c r="H33" s="97" t="e">
        <f>ROUND($D33*($G$35/$F$35),0)</f>
        <v>#DIV/0!</v>
      </c>
      <c r="I33" s="98"/>
      <c r="J33" s="98"/>
    </row>
    <row r="34" spans="1:13" ht="15.75" customHeight="1" thickBot="1" x14ac:dyDescent="0.4">
      <c r="B34" s="54" t="s">
        <v>34</v>
      </c>
      <c r="C34" s="88"/>
      <c r="D34" s="89"/>
      <c r="E34" s="90" t="s">
        <v>37</v>
      </c>
      <c r="F34" s="92">
        <f>$C34*26*$D34</f>
        <v>0</v>
      </c>
      <c r="G34" s="71"/>
      <c r="H34" s="99" t="e">
        <f>ROUND($D34*(G35/F35),0)</f>
        <v>#DIV/0!</v>
      </c>
      <c r="I34" s="98"/>
      <c r="J34" s="98"/>
    </row>
    <row r="35" spans="1:13" ht="15.75" customHeight="1" x14ac:dyDescent="0.35">
      <c r="B35" s="32" t="s">
        <v>35</v>
      </c>
      <c r="D35" s="94">
        <f>SUM(D32:D34)</f>
        <v>0</v>
      </c>
      <c r="F35" s="95">
        <f>SUM(F32:F34)</f>
        <v>0</v>
      </c>
      <c r="G35" s="96">
        <f>I8-I11+I14</f>
        <v>0</v>
      </c>
      <c r="H35" s="94" t="e">
        <f>SUM(H32:H34)</f>
        <v>#DIV/0!</v>
      </c>
      <c r="I35" s="100"/>
      <c r="J35" s="100"/>
      <c r="K35" s="225"/>
      <c r="L35" s="4"/>
      <c r="M35" s="4"/>
    </row>
    <row r="36" spans="1:13" ht="3" customHeight="1" thickBot="1" x14ac:dyDescent="0.4">
      <c r="H36" s="97"/>
      <c r="I36" s="100"/>
      <c r="J36" s="100"/>
      <c r="K36" s="225"/>
      <c r="L36" s="4"/>
      <c r="M36" s="4"/>
    </row>
    <row r="37" spans="1:13" ht="15.75" customHeight="1" thickBot="1" x14ac:dyDescent="0.4">
      <c r="A37" s="32" t="str">
        <f>year - 1 &amp; ":"</f>
        <v>2020:</v>
      </c>
      <c r="B37" s="54" t="s">
        <v>33</v>
      </c>
      <c r="C37" s="88"/>
      <c r="D37" s="89"/>
      <c r="E37" s="90" t="s">
        <v>37</v>
      </c>
      <c r="F37" s="56">
        <f>$C37*26*$D37</f>
        <v>0</v>
      </c>
      <c r="H37" s="97">
        <f>D37</f>
        <v>0</v>
      </c>
      <c r="I37" s="98"/>
      <c r="J37" s="98"/>
      <c r="K37" s="226"/>
      <c r="L37" s="4"/>
      <c r="M37" s="227"/>
    </row>
    <row r="38" spans="1:13" ht="15.75" customHeight="1" thickBot="1" x14ac:dyDescent="0.4">
      <c r="A38" s="32"/>
      <c r="B38" s="54" t="s">
        <v>190</v>
      </c>
      <c r="C38" s="88"/>
      <c r="D38" s="89"/>
      <c r="E38" s="246" t="s">
        <v>37</v>
      </c>
      <c r="F38" s="56">
        <f>$C38*26*$D38</f>
        <v>0</v>
      </c>
      <c r="H38" s="97">
        <f>D38</f>
        <v>0</v>
      </c>
      <c r="I38" s="98"/>
      <c r="J38" s="98"/>
      <c r="K38" s="226"/>
      <c r="L38" s="4"/>
      <c r="M38" s="227"/>
    </row>
    <row r="39" spans="1:13" ht="15.75" customHeight="1" thickBot="1" x14ac:dyDescent="0.4">
      <c r="B39" s="54" t="s">
        <v>34</v>
      </c>
      <c r="C39" s="88"/>
      <c r="D39" s="89"/>
      <c r="E39" s="90" t="s">
        <v>37</v>
      </c>
      <c r="F39" s="92">
        <f>$C39*26*$D39</f>
        <v>0</v>
      </c>
      <c r="G39" s="71"/>
      <c r="H39" s="99">
        <f>D39</f>
        <v>0</v>
      </c>
      <c r="I39" s="98"/>
      <c r="J39" s="98"/>
      <c r="K39" s="225"/>
      <c r="L39" s="4"/>
      <c r="M39" s="233"/>
    </row>
    <row r="40" spans="1:13" ht="15.75" customHeight="1" x14ac:dyDescent="0.35">
      <c r="B40" s="32" t="s">
        <v>35</v>
      </c>
      <c r="C40" s="7"/>
      <c r="D40" s="94">
        <f>SUM(D37:D39)</f>
        <v>0</v>
      </c>
      <c r="F40" s="95">
        <f>SUM(F37:F39)</f>
        <v>0</v>
      </c>
      <c r="G40" s="95">
        <f>F40</f>
        <v>0</v>
      </c>
      <c r="H40" s="94">
        <f>SUM(H37:H39)</f>
        <v>0</v>
      </c>
      <c r="I40" s="100"/>
      <c r="J40" s="100"/>
      <c r="K40" s="225"/>
      <c r="L40" s="4"/>
      <c r="M40" s="233"/>
    </row>
    <row r="41" spans="1:13" ht="3" customHeight="1" thickBot="1" x14ac:dyDescent="0.4">
      <c r="C41" s="7"/>
      <c r="H41" s="97"/>
      <c r="I41" s="100"/>
      <c r="J41" s="100"/>
      <c r="K41" s="225"/>
      <c r="L41" s="4"/>
      <c r="M41" s="4"/>
    </row>
    <row r="42" spans="1:13" ht="15.75" customHeight="1" thickBot="1" x14ac:dyDescent="0.4">
      <c r="A42" s="32" t="s">
        <v>38</v>
      </c>
      <c r="B42" s="54" t="s">
        <v>33</v>
      </c>
      <c r="C42" s="88"/>
      <c r="D42" s="89"/>
      <c r="E42" s="90" t="s">
        <v>37</v>
      </c>
      <c r="F42" s="56">
        <f>$C42*26*$D42</f>
        <v>0</v>
      </c>
      <c r="H42" s="97"/>
      <c r="I42" s="98"/>
      <c r="J42" s="98"/>
      <c r="K42" s="225"/>
      <c r="L42" s="4"/>
      <c r="M42" s="227"/>
    </row>
    <row r="43" spans="1:13" ht="15.75" customHeight="1" thickBot="1" x14ac:dyDescent="0.4">
      <c r="A43" s="32" t="str">
        <f>year &amp; ":"</f>
        <v>2021:</v>
      </c>
      <c r="B43" s="54" t="s">
        <v>190</v>
      </c>
      <c r="C43" s="88"/>
      <c r="D43" s="263"/>
      <c r="E43" s="220" t="s">
        <v>37</v>
      </c>
      <c r="F43" s="56">
        <f>$C43*26*$D43</f>
        <v>0</v>
      </c>
      <c r="H43" s="97"/>
      <c r="I43" s="98"/>
      <c r="J43" s="98"/>
      <c r="K43" s="228"/>
      <c r="L43" s="211"/>
      <c r="M43" s="211"/>
    </row>
    <row r="44" spans="1:13" ht="15.75" customHeight="1" thickBot="1" x14ac:dyDescent="0.4">
      <c r="B44" s="54" t="s">
        <v>34</v>
      </c>
      <c r="C44" s="88"/>
      <c r="D44" s="89"/>
      <c r="E44" s="90" t="s">
        <v>37</v>
      </c>
      <c r="F44" s="92">
        <f>$C44*26*$D44</f>
        <v>0</v>
      </c>
      <c r="G44" s="71"/>
      <c r="H44" s="99"/>
      <c r="I44" s="98"/>
      <c r="J44" s="98"/>
      <c r="K44" s="229"/>
      <c r="L44" s="4"/>
      <c r="M44" s="227"/>
    </row>
    <row r="45" spans="1:13" ht="15.75" customHeight="1" x14ac:dyDescent="0.35">
      <c r="B45" s="32" t="s">
        <v>35</v>
      </c>
      <c r="D45" s="94">
        <f>SUM(D42:D44)</f>
        <v>0</v>
      </c>
      <c r="F45" s="95">
        <f>SUM(F42:F44)</f>
        <v>0</v>
      </c>
      <c r="H45" s="97"/>
      <c r="I45" s="65"/>
      <c r="J45" s="65"/>
    </row>
    <row r="46" spans="1:13" s="7" customFormat="1" ht="15.75" customHeight="1" x14ac:dyDescent="0.35">
      <c r="B46" s="9"/>
      <c r="D46" s="24"/>
      <c r="F46" s="25"/>
      <c r="H46" s="27"/>
      <c r="I46" s="12"/>
      <c r="J46" s="12"/>
    </row>
    <row r="47" spans="1:13" s="7" customFormat="1" ht="15.75" customHeight="1" thickBot="1" x14ac:dyDescent="0.4">
      <c r="A47" s="9" t="str">
        <f>"3. The table below can be used to estimate the "&amp;year&amp;" Enrollee Contribution. Please see the 'Help' sheet for more details."</f>
        <v>3. The table below can be used to estimate the 2021 Enrollee Contribution. Please see the 'Help' sheet for more details.</v>
      </c>
      <c r="B47" s="9"/>
      <c r="D47" s="24"/>
      <c r="F47" s="25"/>
      <c r="H47" s="27"/>
      <c r="I47" s="266"/>
      <c r="J47" s="268"/>
    </row>
    <row r="48" spans="1:13" s="7" customFormat="1" ht="15.75" customHeight="1" thickBot="1" x14ac:dyDescent="0.4">
      <c r="A48" s="9"/>
      <c r="B48" s="8"/>
      <c r="C48" s="8"/>
      <c r="D48" s="8" t="s">
        <v>336</v>
      </c>
      <c r="E48" s="315" t="s">
        <v>334</v>
      </c>
      <c r="F48" s="25"/>
      <c r="H48" s="27"/>
      <c r="I48" s="266"/>
      <c r="J48" s="268"/>
    </row>
    <row r="49" spans="1:14" s="7" customFormat="1" ht="15.75" customHeight="1" x14ac:dyDescent="0.35">
      <c r="A49" s="9"/>
      <c r="B49" s="9"/>
      <c r="D49" s="24"/>
      <c r="F49" s="25"/>
      <c r="H49" s="27"/>
      <c r="I49" s="266"/>
      <c r="J49" s="268"/>
    </row>
    <row r="50" spans="1:14" s="7" customFormat="1" ht="15.75" customHeight="1" thickBot="1" x14ac:dyDescent="0.4">
      <c r="A50" s="4"/>
      <c r="B50" s="9" t="str">
        <f>"For "&amp;year-1&amp;", the Government Contribution is the lesser of:"</f>
        <v>For 2020, the Government Contribution is the lesser of:</v>
      </c>
      <c r="D50" s="24"/>
      <c r="F50" s="9" t="str">
        <f>"For "&amp;year&amp;", the Government Contribution is the lesser of:"</f>
        <v>For 2021, the Government Contribution is the lesser of:</v>
      </c>
      <c r="H50" s="4"/>
      <c r="I50" s="292"/>
      <c r="J50" s="293"/>
    </row>
    <row r="51" spans="1:14" s="7" customFormat="1" ht="15.75" customHeight="1" thickBot="1" x14ac:dyDescent="0.4">
      <c r="A51" s="4"/>
      <c r="B51" s="287">
        <v>0.75</v>
      </c>
      <c r="C51" s="7" t="s">
        <v>206</v>
      </c>
      <c r="D51" s="24"/>
      <c r="F51" s="287">
        <v>0.75</v>
      </c>
      <c r="G51" s="7" t="s">
        <v>206</v>
      </c>
      <c r="H51" s="4"/>
      <c r="I51" s="292"/>
      <c r="J51" s="293"/>
    </row>
    <row r="52" spans="1:14" s="7" customFormat="1" ht="15.75" customHeight="1" thickBot="1" x14ac:dyDescent="0.4">
      <c r="A52" s="4"/>
      <c r="B52" s="288">
        <v>0.72</v>
      </c>
      <c r="C52" s="7" t="s">
        <v>207</v>
      </c>
      <c r="D52" s="24"/>
      <c r="F52" s="288">
        <v>0.72</v>
      </c>
      <c r="G52" s="7" t="s">
        <v>207</v>
      </c>
      <c r="H52" s="4"/>
      <c r="I52" s="293"/>
      <c r="J52" s="293"/>
    </row>
    <row r="53" spans="1:14" s="7" customFormat="1" ht="15.75" customHeight="1" x14ac:dyDescent="0.35">
      <c r="A53" s="354"/>
      <c r="B53" s="210"/>
      <c r="C53" s="290"/>
      <c r="D53" s="210"/>
      <c r="E53" s="354"/>
      <c r="F53" s="210"/>
      <c r="G53" s="4"/>
      <c r="H53" s="4"/>
      <c r="I53" s="293"/>
      <c r="J53" s="293"/>
    </row>
    <row r="54" spans="1:14" s="7" customFormat="1" ht="15.75" customHeight="1" x14ac:dyDescent="0.35">
      <c r="A54" s="449"/>
      <c r="B54" s="450" t="s">
        <v>203</v>
      </c>
      <c r="C54" s="451" t="str">
        <f>"Est. "&amp;year&amp;" Max. Gov't Contrib."</f>
        <v>Est. 2021 Max. Gov't Contrib.</v>
      </c>
      <c r="D54" s="451" t="str">
        <f>"Est. "&amp;year&amp;" Gov't Contribution"</f>
        <v>Est. 2021 Gov't Contribution</v>
      </c>
      <c r="E54" s="451" t="str">
        <f>year-1&amp;" Enrollee Contribution"</f>
        <v>2020 Enrollee Contribution</v>
      </c>
      <c r="F54" s="451" t="str">
        <f>"Est. "&amp;year&amp;" Enrollee Contribution"</f>
        <v>Est. 2021 Enrollee Contribution</v>
      </c>
      <c r="G54" s="474" t="s">
        <v>198</v>
      </c>
      <c r="H54" s="291"/>
      <c r="I54" s="441" t="str">
        <f ca="1">"NOTE: The non-Postal and annuitant Government Contribution formula of 75% and 72% has been input in cells "&amp;MID(CELL("address", B51), 2, 1)&amp;RIGHT(CELL("address", B51),2)&amp;"-"&amp;MID(CELL("address", B52), 2, 1)&amp;RIGHT(CELL("address", B52),2)&amp;" and "&amp;MID(CELL("address", F51), 2, 1)&amp;RIGHT(CELL("address", F51),2)&amp;"-"&amp;MID(CELL("address", F52), 2, 1)&amp;RIGHT(CELL("address", F52),2)&amp;", but can be changed to make estimations for different contribution formulas."</f>
        <v>NOTE: The non-Postal and annuitant Government Contribution formula of 75% and 72% has been input in cells B51-B52 and F51-F52, but can be changed to make estimations for different contribution formulas.</v>
      </c>
      <c r="J54" s="442"/>
    </row>
    <row r="55" spans="1:14" s="7" customFormat="1" ht="15.75" customHeight="1" thickBot="1" x14ac:dyDescent="0.4">
      <c r="A55" s="449"/>
      <c r="B55" s="450"/>
      <c r="C55" s="451"/>
      <c r="D55" s="451"/>
      <c r="E55" s="451"/>
      <c r="F55" s="451"/>
      <c r="G55" s="475"/>
      <c r="H55" s="291"/>
      <c r="I55" s="443"/>
      <c r="J55" s="444"/>
    </row>
    <row r="56" spans="1:14" s="7" customFormat="1" ht="15.75" customHeight="1" thickBot="1" x14ac:dyDescent="0.4">
      <c r="A56" s="278" t="s">
        <v>33</v>
      </c>
      <c r="B56" s="289">
        <v>0</v>
      </c>
      <c r="C56" s="279">
        <f>IF($E$48="Bi-Weekly", ROUND(ROUND(GovtMaxS*$F$52,2)*(1+B56), 2), ROUND(ROUND(ROUND(GovtMaxS*$F$52,2)*(1+B56), 2)*26/12, 2))</f>
        <v>235.77</v>
      </c>
      <c r="D56" s="277">
        <f>IF($E$48="Bi-Weekly", ROUND(MIN(C56, ROUND(C42*1.04, 2)*$F$51),2), ROUND(MIN(C56, ROUND(ROUND(C42*1.04, 2)*(26/12),2)*$F$51),2))</f>
        <v>0</v>
      </c>
      <c r="E56" s="277">
        <f>IF($E$48="Bi-Weekly",ROUND(C37*1.04,2)-MIN(ROUND(GovtMaxS*$B$52,2),ROUND(ROUND(C37*1.04,2)*$B$51,2)),ROUND(ROUND(C37*1.04,2)*26/12,2)-MIN(ROUND(ROUND(GovtMaxS*$B$52,2)*26/12, 2),ROUND(ROUND(ROUND(C37*1.04,2)*26/12,2)*$B$51,2)))</f>
        <v>0</v>
      </c>
      <c r="F56" s="277">
        <f>IF($E$48="Bi-Weekly",ROUND(C42*1.04, 2)-D56,ROUND(ROUND(C42*1.04,2)*26/12,2)-D56)</f>
        <v>0</v>
      </c>
      <c r="G56" s="336" t="e">
        <f>F56/E56-1</f>
        <v>#DIV/0!</v>
      </c>
      <c r="H56" s="291"/>
      <c r="I56" s="443"/>
      <c r="J56" s="444"/>
    </row>
    <row r="57" spans="1:14" s="7" customFormat="1" ht="15.75" customHeight="1" thickBot="1" x14ac:dyDescent="0.4">
      <c r="A57" s="278" t="s">
        <v>190</v>
      </c>
      <c r="B57" s="289">
        <v>0</v>
      </c>
      <c r="C57" s="279">
        <f>IF($E$48="Bi-Weekly", ROUND(ROUND(GovtMaxP*$F$52,2)*(1+B57), 2), ROUND(ROUND(ROUND(GovtMaxP*$F$52,2)*(1+B57), 2)*26/12, 2))</f>
        <v>504.12</v>
      </c>
      <c r="D57" s="277">
        <f>IF($E$48="Bi-Weekly", ROUND(MIN(C57, ROUND(C43*1.04, 2)*$F$51),2), ROUND(MIN(C57, ROUND(ROUND(C43*1.04, 2)*(26/12),2)*$F$51),2))</f>
        <v>0</v>
      </c>
      <c r="E57" s="277">
        <f>IF($E$48="Bi-Weekly",ROUND(C38*1.04,2)-MIN(ROUND(GovtMaxP*$B$52,2),ROUND(ROUND(C38*1.04,2)*$B$51,2)),ROUND(ROUND(C38*1.04,2)*26/12,2)-MIN(ROUND(ROUND(GovtMaxP*$B$52,2)*26/12, 2),ROUND(ROUND(ROUND(C38*1.04,2)*26/12,2)*$B$51,2)))</f>
        <v>0</v>
      </c>
      <c r="F57" s="277">
        <f>IF($E$48="Bi-Weekly",ROUND(C43*1.04, 2)-D57,ROUND(ROUND(C43*1.04,2)*26/12,2)-D57)</f>
        <v>0</v>
      </c>
      <c r="G57" s="336" t="e">
        <f>F57/E57-1</f>
        <v>#DIV/0!</v>
      </c>
      <c r="H57" s="291"/>
      <c r="I57" s="443"/>
      <c r="J57" s="444"/>
      <c r="N57" s="4"/>
    </row>
    <row r="58" spans="1:14" s="7" customFormat="1" ht="15.75" customHeight="1" thickBot="1" x14ac:dyDescent="0.4">
      <c r="A58" s="278" t="s">
        <v>34</v>
      </c>
      <c r="B58" s="289">
        <v>0</v>
      </c>
      <c r="C58" s="279">
        <f>IF($E$48="Bi-Weekly", ROUND(ROUND(GovtMaxF*$F$52,2)*(1+B58), 2), ROUND(ROUND(ROUND(GovtMaxF*$F$52,2)*(1+B58), 2)*26/12, 2))</f>
        <v>546.47</v>
      </c>
      <c r="D58" s="277">
        <f>IF($E$48="Bi-Weekly", ROUND(MIN(C58, ROUND(C44*1.04, 2)*$F$51),2), ROUND(MIN(C58, ROUND(ROUND(C44*1.04, 2)*(26/12),2)*$F$51),2))</f>
        <v>0</v>
      </c>
      <c r="E58" s="277">
        <f>IF($E$48="Bi-Weekly",ROUND(C39*1.04,2)-MIN(ROUND(GovtMaxF*$B$52,2),ROUND(ROUND(C39*1.04,2)*$B$51,2)),ROUND(ROUND(C39*1.04,2)*26/12,2)-MIN(ROUND(ROUND(GovtMaxF*$B$52,2)*26/12, 2),ROUND(ROUND(ROUND(C39*1.04,2)*26/12,2)*$B$51,2)))</f>
        <v>0</v>
      </c>
      <c r="F58" s="277">
        <f>IF($E$48="Bi-Weekly",ROUND(C44*1.04, 2)-D58,ROUND(ROUND(C44*1.04,2)*26/12,2)-D58)</f>
        <v>0</v>
      </c>
      <c r="G58" s="336" t="e">
        <f>F58/E58-1</f>
        <v>#DIV/0!</v>
      </c>
      <c r="H58" s="225"/>
      <c r="I58" s="443"/>
      <c r="J58" s="444"/>
      <c r="N58" s="4"/>
    </row>
    <row r="59" spans="1:14" s="7" customFormat="1" ht="15.75" customHeight="1" x14ac:dyDescent="0.35">
      <c r="A59" s="278"/>
      <c r="B59" s="476" t="str">
        <f ca="1">"** The estimated increase to the maximum Government Contribution should be based on the assumption of the Government Contribution formula remaining the same year over year.  The impact of any change in the Government Contribution formula (cells "&amp;MID(CELL("address", B51), 2, 1)&amp;RIGHT(CELL("address", B51),2)&amp;"-"&amp;MID(CELL("address", B52), 2, 1)&amp;RIGHT(CELL("address", B52),2)&amp;" and "&amp;MID(CELL("address", F51), 2, 1)&amp;RIGHT(CELL("address", F51),2)&amp;"-"&amp;MID(CELL("address", F52), 2, 1)&amp;RIGHT(CELL("address", F52),2)&amp;")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B51-B52 and F51-F52) is already reflected in our calculations.</v>
      </c>
      <c r="C59" s="476"/>
      <c r="D59" s="476"/>
      <c r="E59" s="476"/>
      <c r="F59" s="476"/>
      <c r="G59" s="476"/>
      <c r="H59" s="225"/>
      <c r="I59" s="443"/>
      <c r="J59" s="444"/>
      <c r="N59" s="4"/>
    </row>
    <row r="60" spans="1:14" s="7" customFormat="1" ht="15.75" customHeight="1" x14ac:dyDescent="0.35">
      <c r="A60" s="278"/>
      <c r="B60" s="476"/>
      <c r="C60" s="476"/>
      <c r="D60" s="476"/>
      <c r="E60" s="476"/>
      <c r="F60" s="476"/>
      <c r="G60" s="476"/>
      <c r="H60" s="225"/>
      <c r="I60" s="445"/>
      <c r="J60" s="446"/>
      <c r="N60" s="4"/>
    </row>
    <row r="61" spans="1:14" s="7" customFormat="1" ht="15.75" customHeight="1" x14ac:dyDescent="0.35">
      <c r="B61" s="476"/>
      <c r="C61" s="476"/>
      <c r="D61" s="476"/>
      <c r="E61" s="476"/>
      <c r="F61" s="476"/>
      <c r="G61" s="476"/>
      <c r="N61" s="4"/>
    </row>
    <row r="62" spans="1:14" ht="15.75" customHeight="1" x14ac:dyDescent="0.35">
      <c r="A62" s="32" t="s">
        <v>209</v>
      </c>
      <c r="N62" s="4"/>
    </row>
    <row r="63" spans="1:14" ht="15.75" customHeight="1" x14ac:dyDescent="0.35">
      <c r="A63" s="9" t="str">
        <f>"   (a) As of 12/31/" &amp; year-2 &amp; " what were the total claims paid to date for services incurred in each of the following years? "</f>
        <v xml:space="preserve">   (a) As of 12/31/2019 what were the total claims paid to date for services incurred in each of the following years? </v>
      </c>
      <c r="N63" s="4"/>
    </row>
    <row r="64" spans="1:14" ht="15.75" customHeight="1" thickBot="1" x14ac:dyDescent="0.4">
      <c r="N64" s="227"/>
    </row>
    <row r="65" spans="1:16" ht="15.75" customHeight="1" thickBot="1" x14ac:dyDescent="0.4">
      <c r="B65" s="101">
        <f>year-4</f>
        <v>2017</v>
      </c>
      <c r="C65" s="245">
        <v>0</v>
      </c>
      <c r="D65" s="101">
        <f>year-3</f>
        <v>2018</v>
      </c>
      <c r="E65" s="82"/>
      <c r="F65" s="101">
        <f>year-2</f>
        <v>2019</v>
      </c>
      <c r="G65" s="82"/>
      <c r="N65" s="211"/>
      <c r="P65" s="205"/>
    </row>
    <row r="66" spans="1:16" ht="15.75" customHeight="1" x14ac:dyDescent="0.35">
      <c r="N66" s="4"/>
      <c r="P66" s="205"/>
    </row>
    <row r="67" spans="1:16" ht="15.75" customHeight="1" x14ac:dyDescent="0.35">
      <c r="A67" s="9" t="str">
        <f>"   (b) As of 4/30/" &amp; year-1 &amp; " what were the total claims paid in " &amp;year-1&amp; " for services incurred in each of the following years?"</f>
        <v xml:space="preserve">   (b) As of 4/30/2020 what were the total claims paid in 2020 for services incurred in each of the following years?</v>
      </c>
    </row>
    <row r="68" spans="1:16" ht="15" thickBot="1" x14ac:dyDescent="0.4"/>
    <row r="69" spans="1:16" ht="15.75" customHeight="1" thickBot="1" x14ac:dyDescent="0.4">
      <c r="B69" s="32">
        <f>year-4</f>
        <v>2017</v>
      </c>
      <c r="C69" s="245">
        <v>0</v>
      </c>
      <c r="D69" s="32">
        <f>year-3</f>
        <v>2018</v>
      </c>
      <c r="E69" s="82"/>
      <c r="F69" s="32">
        <f>year-2</f>
        <v>2019</v>
      </c>
      <c r="G69" s="82"/>
      <c r="H69" s="32">
        <f>year-1</f>
        <v>2020</v>
      </c>
      <c r="I69" s="82"/>
    </row>
    <row r="70" spans="1:16" ht="15.75" customHeight="1" x14ac:dyDescent="0.35"/>
    <row r="71" spans="1:16" ht="15.75" customHeight="1" x14ac:dyDescent="0.35">
      <c r="A71" s="32" t="s">
        <v>39</v>
      </c>
    </row>
    <row r="72" spans="1:16" ht="15.75" customHeight="1" thickBot="1" x14ac:dyDescent="0.4"/>
    <row r="73" spans="1:16" ht="15.75" customHeight="1" thickBot="1" x14ac:dyDescent="0.4">
      <c r="B73" s="32">
        <f>year-4</f>
        <v>2017</v>
      </c>
      <c r="C73" s="245">
        <v>0</v>
      </c>
      <c r="D73" s="32">
        <f>year-3</f>
        <v>2018</v>
      </c>
      <c r="E73" s="82"/>
      <c r="F73" s="32">
        <f>year-2</f>
        <v>2019</v>
      </c>
      <c r="G73" s="82"/>
    </row>
    <row r="74" spans="1:16" ht="15.75" customHeight="1" x14ac:dyDescent="0.35"/>
    <row r="75" spans="1:16" ht="15.75" customHeight="1" x14ac:dyDescent="0.35">
      <c r="A75" s="32" t="str">
        <f>"   (d) Claims Incurred but Unpaid for years prior to " &amp;year-4&amp; "?"</f>
        <v xml:space="preserve">   (d) Claims Incurred but Unpaid for years prior to 2017?</v>
      </c>
      <c r="E75" s="245">
        <v>0</v>
      </c>
    </row>
    <row r="76" spans="1:16" ht="15.75" customHeight="1" x14ac:dyDescent="0.35">
      <c r="A76" s="32"/>
      <c r="E76" s="245"/>
    </row>
    <row r="77" spans="1:16" ht="15.75" customHeight="1" x14ac:dyDescent="0.35"/>
    <row r="78" spans="1:16" ht="15.75" customHeight="1" x14ac:dyDescent="0.35">
      <c r="A78" s="32" t="str">
        <f>"         The portion of these claims that have been paid as of 12/31/" &amp;year-2&amp;":"</f>
        <v xml:space="preserve">         The portion of these claims that have been paid as of 12/31/2019:</v>
      </c>
      <c r="D78" s="102"/>
    </row>
    <row r="80" spans="1:16" x14ac:dyDescent="0.35">
      <c r="B80" s="32">
        <f>year-4</f>
        <v>2017</v>
      </c>
      <c r="C80" s="103">
        <f>1</f>
        <v>1</v>
      </c>
      <c r="D80" s="32">
        <f>year-3</f>
        <v>2018</v>
      </c>
      <c r="E80" s="103" t="e">
        <f>E65/E73</f>
        <v>#DIV/0!</v>
      </c>
      <c r="F80" s="32">
        <f>year-2</f>
        <v>2019</v>
      </c>
      <c r="G80" s="103" t="e">
        <f>G65/G73</f>
        <v>#DIV/0!</v>
      </c>
    </row>
    <row r="82" spans="1:9" x14ac:dyDescent="0.35">
      <c r="A82" s="32" t="str">
        <f>"         The portion of these claims that have been paid as of 4/30/" &amp;year-1&amp;":"</f>
        <v xml:space="preserve">         The portion of these claims that have been paid as of 4/30/2020:</v>
      </c>
      <c r="D82" s="102"/>
    </row>
    <row r="83" spans="1:9" x14ac:dyDescent="0.35">
      <c r="H83" s="102"/>
    </row>
    <row r="84" spans="1:9" x14ac:dyDescent="0.35">
      <c r="B84" s="32">
        <f>year-4</f>
        <v>2017</v>
      </c>
      <c r="C84" s="103">
        <f>1</f>
        <v>1</v>
      </c>
      <c r="D84" s="32">
        <f>year-3</f>
        <v>2018</v>
      </c>
      <c r="E84" s="103" t="e">
        <f>(E$65+E$69)/E$73</f>
        <v>#DIV/0!</v>
      </c>
      <c r="F84" s="32">
        <f>year-2</f>
        <v>2019</v>
      </c>
      <c r="G84" s="103" t="e">
        <f>(G$65+G$69)/G$73</f>
        <v>#DIV/0!</v>
      </c>
    </row>
    <row r="86" spans="1:9" ht="15" thickBot="1" x14ac:dyDescent="0.4">
      <c r="A86" s="432" t="s">
        <v>45</v>
      </c>
      <c r="B86" s="433"/>
      <c r="C86" s="433"/>
      <c r="D86" s="433"/>
      <c r="E86" s="433"/>
      <c r="F86" s="433"/>
      <c r="G86" s="433"/>
      <c r="H86" s="433"/>
      <c r="I86" s="434"/>
    </row>
    <row r="87" spans="1:9" ht="15" thickTop="1" x14ac:dyDescent="0.35">
      <c r="A87" s="464" t="str">
        <f>"Claims in item 10 for "&amp;year-2&amp;"-"&amp;year&amp;" are equal to the product of the prior year’s claims and the factors in items 5 through 9. "</f>
        <v xml:space="preserve">Claims in item 10 for 2019-2021 are equal to the product of the prior year’s claims and the factors in items 5 through 9. </v>
      </c>
      <c r="B87" s="465"/>
      <c r="C87" s="465"/>
      <c r="D87" s="465"/>
      <c r="E87" s="465"/>
      <c r="F87" s="465"/>
      <c r="G87" s="465"/>
      <c r="H87" s="465"/>
      <c r="I87" s="466"/>
    </row>
    <row r="88" spans="1:9" x14ac:dyDescent="0.35">
      <c r="A88" s="455" t="str">
        <f>"For "&amp;year-2&amp;", the claims in item 10 must agree with the ultimate claims stated in item 4."</f>
        <v>For 2019, the claims in item 10 must agree with the ultimate claims stated in item 4.</v>
      </c>
      <c r="B88" s="456"/>
      <c r="C88" s="456"/>
      <c r="D88" s="456"/>
      <c r="E88" s="456"/>
      <c r="F88" s="456"/>
      <c r="G88" s="456"/>
      <c r="H88" s="456"/>
      <c r="I88" s="457"/>
    </row>
    <row r="89" spans="1:9" hidden="1" x14ac:dyDescent="0.35">
      <c r="A89" s="455"/>
      <c r="B89" s="456"/>
      <c r="C89" s="456"/>
      <c r="D89" s="456"/>
      <c r="E89" s="456"/>
      <c r="F89" s="456"/>
      <c r="G89" s="456"/>
      <c r="H89" s="456"/>
      <c r="I89" s="457"/>
    </row>
    <row r="91" spans="1:9" x14ac:dyDescent="0.35">
      <c r="A91" s="32" t="s">
        <v>219</v>
      </c>
    </row>
    <row r="92" spans="1:9" ht="15" thickBot="1" x14ac:dyDescent="0.4"/>
    <row r="93" spans="1:9" ht="15" thickBot="1" x14ac:dyDescent="0.4">
      <c r="A93" s="111" t="s">
        <v>176</v>
      </c>
      <c r="B93" s="104"/>
      <c r="C93" s="111" t="s">
        <v>174</v>
      </c>
      <c r="D93" s="104"/>
      <c r="E93" s="54" t="s">
        <v>175</v>
      </c>
      <c r="F93" s="105" t="s">
        <v>40</v>
      </c>
    </row>
    <row r="94" spans="1:9" ht="12.75" customHeight="1" x14ac:dyDescent="0.35"/>
    <row r="95" spans="1:9" ht="12.75" customHeight="1" x14ac:dyDescent="0.35">
      <c r="A95" s="32" t="s">
        <v>41</v>
      </c>
    </row>
    <row r="96" spans="1:9" ht="12.75" customHeight="1" x14ac:dyDescent="0.35"/>
    <row r="97" spans="1:9" x14ac:dyDescent="0.35">
      <c r="B97" s="83" t="str">
        <f>year-3 &amp;" to " &amp;year-2</f>
        <v>2018 to 2019</v>
      </c>
      <c r="C97" s="65"/>
      <c r="D97" s="83" t="str">
        <f>year-2&amp; " to " &amp;year-1</f>
        <v>2019 to 2020</v>
      </c>
      <c r="E97" s="65"/>
      <c r="F97" s="467" t="str">
        <f>"Est. " &amp;year-1&amp; " to " &amp;year</f>
        <v>Est. 2020 to 2021</v>
      </c>
      <c r="G97" s="468"/>
      <c r="H97" s="65"/>
    </row>
    <row r="98" spans="1:9" x14ac:dyDescent="0.35">
      <c r="F98" s="83"/>
    </row>
    <row r="99" spans="1:9" x14ac:dyDescent="0.35">
      <c r="A99" s="32" t="s">
        <v>42</v>
      </c>
      <c r="B99" s="106" t="e">
        <f>(C27*H32+C28*H33+C29*H34)/(H27*C27+H28*C28+H29*C29)</f>
        <v>#DIV/0!</v>
      </c>
      <c r="C99" s="398"/>
      <c r="D99" s="106" t="e">
        <f>(C32*H37+C33*H38+C34*H39)/(C32*H32+C33*H33+C34*H34)</f>
        <v>#DIV/0!</v>
      </c>
      <c r="E99" s="398"/>
      <c r="F99" s="106" t="e">
        <f>(C37*D42+C38*D43+C39*D44)/(C37*D37+C38*D38+C39*D39)</f>
        <v>#DIV/0!</v>
      </c>
    </row>
    <row r="100" spans="1:9" ht="15" thickBot="1" x14ac:dyDescent="0.4">
      <c r="F100" s="7"/>
    </row>
    <row r="101" spans="1:9" ht="15" thickBot="1" x14ac:dyDescent="0.4">
      <c r="A101" s="32" t="s">
        <v>93</v>
      </c>
      <c r="B101" s="107">
        <v>1</v>
      </c>
      <c r="D101" s="107">
        <f>1</f>
        <v>1</v>
      </c>
      <c r="F101" s="107">
        <f>1</f>
        <v>1</v>
      </c>
    </row>
    <row r="102" spans="1:9" x14ac:dyDescent="0.35">
      <c r="A102" s="54" t="s">
        <v>43</v>
      </c>
    </row>
    <row r="104" spans="1:9" x14ac:dyDescent="0.35">
      <c r="A104" s="32" t="s">
        <v>44</v>
      </c>
      <c r="B104" s="108" t="e">
        <f>IF(F93&lt;&gt;"X",B$99*B$101,B99)</f>
        <v>#DIV/0!</v>
      </c>
      <c r="D104" s="108" t="e">
        <f>IF(F93&lt;&gt;"X",D$99*D$101,D99)</f>
        <v>#DIV/0!</v>
      </c>
      <c r="F104" s="108" t="e">
        <f>IF(F93&lt;&gt;"X",F$99*F$101,F99)</f>
        <v>#DIV/0!</v>
      </c>
    </row>
    <row r="106" spans="1:9" ht="15" thickBot="1" x14ac:dyDescent="0.4">
      <c r="A106" s="432" t="s">
        <v>47</v>
      </c>
      <c r="B106" s="433"/>
      <c r="C106" s="433"/>
      <c r="D106" s="433"/>
      <c r="E106" s="433"/>
      <c r="F106" s="433"/>
      <c r="G106" s="433"/>
      <c r="H106" s="433"/>
      <c r="I106" s="434"/>
    </row>
    <row r="107" spans="1:9" ht="15" thickTop="1" x14ac:dyDescent="0.35">
      <c r="A107" s="458" t="s">
        <v>211</v>
      </c>
      <c r="B107" s="459"/>
      <c r="C107" s="459"/>
      <c r="D107" s="459"/>
      <c r="E107" s="459"/>
      <c r="F107" s="459"/>
      <c r="G107" s="459"/>
      <c r="H107" s="459"/>
      <c r="I107" s="460"/>
    </row>
    <row r="108" spans="1:9" x14ac:dyDescent="0.35">
      <c r="A108" s="458" t="s">
        <v>191</v>
      </c>
      <c r="B108" s="459"/>
      <c r="C108" s="459"/>
      <c r="D108" s="459"/>
      <c r="E108" s="459"/>
      <c r="F108" s="459"/>
      <c r="G108" s="459"/>
      <c r="H108" s="459"/>
      <c r="I108" s="460"/>
    </row>
    <row r="109" spans="1:9" x14ac:dyDescent="0.35">
      <c r="A109" s="458" t="s">
        <v>94</v>
      </c>
      <c r="B109" s="459"/>
      <c r="C109" s="459"/>
      <c r="D109" s="459"/>
      <c r="E109" s="459"/>
      <c r="F109" s="459"/>
      <c r="G109" s="459"/>
      <c r="H109" s="459"/>
      <c r="I109" s="460"/>
    </row>
    <row r="110" spans="1:9" x14ac:dyDescent="0.35">
      <c r="A110" s="461" t="s">
        <v>46</v>
      </c>
      <c r="B110" s="462"/>
      <c r="C110" s="462"/>
      <c r="D110" s="462"/>
      <c r="E110" s="462"/>
      <c r="F110" s="462"/>
      <c r="G110" s="462"/>
      <c r="H110" s="462"/>
      <c r="I110" s="463"/>
    </row>
    <row r="112" spans="1:9" x14ac:dyDescent="0.35">
      <c r="A112" s="32" t="str">
        <f>"6. What was the change in benefit factor for " &amp;year-3&amp; " to " &amp;year-2&amp;", " &amp;year-2&amp;" to " &amp;year-1&amp; ", and your estimate for " &amp;year-1&amp;" to "&amp;year&amp;"?"</f>
        <v>6. What was the change in benefit factor for 2018 to 2019, 2019 to 2020, and your estimate for 2020 to 2021?</v>
      </c>
    </row>
    <row r="114" spans="1:9" x14ac:dyDescent="0.35">
      <c r="B114" s="452" t="s">
        <v>192</v>
      </c>
      <c r="C114" s="452"/>
      <c r="D114" s="452"/>
      <c r="E114" s="453" t="s">
        <v>147</v>
      </c>
      <c r="F114" s="453"/>
      <c r="G114" s="453"/>
      <c r="H114" s="453"/>
      <c r="I114" s="453"/>
    </row>
    <row r="115" spans="1:9" ht="15" thickBot="1" x14ac:dyDescent="0.4">
      <c r="B115" s="109" t="str">
        <f>year-3&amp; " to " &amp;year-2</f>
        <v>2018 to 2019</v>
      </c>
      <c r="C115" s="109" t="str">
        <f>year-2&amp;" to " &amp;year-1</f>
        <v>2019 to 2020</v>
      </c>
      <c r="D115" s="38" t="str">
        <f>year-1 &amp;" to " &amp;year&amp; "**"</f>
        <v>2020 to 2021**</v>
      </c>
    </row>
    <row r="116" spans="1:9" ht="15" thickBot="1" x14ac:dyDescent="0.4">
      <c r="A116" s="101" t="s">
        <v>33</v>
      </c>
      <c r="B116" s="110"/>
      <c r="C116" s="110"/>
      <c r="D116" s="251"/>
      <c r="H116" s="111"/>
      <c r="I116" s="112"/>
    </row>
    <row r="117" spans="1:9" ht="15" thickBot="1" x14ac:dyDescent="0.4">
      <c r="A117" s="219" t="s">
        <v>190</v>
      </c>
      <c r="B117" s="251"/>
      <c r="C117" s="251"/>
      <c r="D117" s="251"/>
      <c r="H117" s="111"/>
      <c r="I117" s="232"/>
    </row>
    <row r="118" spans="1:9" ht="15" thickBot="1" x14ac:dyDescent="0.4">
      <c r="A118" s="101" t="s">
        <v>34</v>
      </c>
      <c r="B118" s="110"/>
      <c r="C118" s="110"/>
      <c r="D118" s="251"/>
    </row>
    <row r="119" spans="1:9" ht="15" thickBot="1" x14ac:dyDescent="0.4">
      <c r="A119" s="101" t="s">
        <v>50</v>
      </c>
      <c r="B119" s="107">
        <v>0</v>
      </c>
      <c r="C119" s="107">
        <v>0</v>
      </c>
      <c r="D119" s="107">
        <v>0</v>
      </c>
    </row>
    <row r="120" spans="1:9" x14ac:dyDescent="0.35">
      <c r="A120" s="101" t="s">
        <v>49</v>
      </c>
      <c r="B120" s="255" t="e">
        <f>IF(I116=FALSE,((H32*(C27+B116))+(H33*(C28+B117))+(H34*(C29+B118)))/(H32*C27+H33*C28+H34*C29),0)</f>
        <v>#DIV/0!</v>
      </c>
      <c r="C120" s="255" t="e">
        <f>IF(I116=FALSE,((H37*(C32+C116))+(H38*(C33+C117))+(H39*(C34+C118)))/(H37*C32+H38*C33+H39*C34),0)</f>
        <v>#DIV/0!</v>
      </c>
      <c r="D120" s="243" t="e">
        <f>IF(I116=FALSE, ((D42*(C37+D116))+(D43*(C38+D117))+(D44*(C39+D118)))/(D42*C37+C39*D44+D43*C38), 0)</f>
        <v>#DIV/0!</v>
      </c>
    </row>
    <row r="121" spans="1:9" x14ac:dyDescent="0.35">
      <c r="A121" s="240" t="s">
        <v>169</v>
      </c>
    </row>
    <row r="122" spans="1:9" x14ac:dyDescent="0.35">
      <c r="A122" s="241" t="s">
        <v>332</v>
      </c>
    </row>
    <row r="125" spans="1:9" x14ac:dyDescent="0.35">
      <c r="A125" s="32" t="s">
        <v>212</v>
      </c>
      <c r="B125" s="102"/>
      <c r="D125" s="83" t="s">
        <v>51</v>
      </c>
      <c r="E125" s="454"/>
      <c r="F125" s="83" t="s">
        <v>52</v>
      </c>
      <c r="G125" s="454"/>
      <c r="H125" s="83" t="s">
        <v>53</v>
      </c>
    </row>
    <row r="126" spans="1:9" ht="15" thickBot="1" x14ac:dyDescent="0.4">
      <c r="D126" s="84" t="s">
        <v>54</v>
      </c>
      <c r="E126" s="454"/>
      <c r="F126" s="84" t="s">
        <v>54</v>
      </c>
      <c r="G126" s="454"/>
      <c r="H126" s="84" t="s">
        <v>54</v>
      </c>
    </row>
    <row r="127" spans="1:9" ht="15" thickBot="1" x14ac:dyDescent="0.4">
      <c r="B127" s="447" t="str">
        <f>year-3&amp;" to "  &amp;year-2</f>
        <v>2018 to 2019</v>
      </c>
      <c r="C127" s="447"/>
      <c r="D127" s="113">
        <f>F127*H127</f>
        <v>1</v>
      </c>
      <c r="E127" s="90" t="s">
        <v>55</v>
      </c>
      <c r="F127" s="114">
        <v>1</v>
      </c>
      <c r="G127" s="90" t="s">
        <v>40</v>
      </c>
      <c r="H127" s="114">
        <v>1</v>
      </c>
    </row>
    <row r="128" spans="1:9" ht="15" thickBot="1" x14ac:dyDescent="0.4">
      <c r="B128" s="447" t="str">
        <f>"Projected " &amp;year-2&amp; " to " &amp;year-1</f>
        <v>Projected 2019 to 2020</v>
      </c>
      <c r="C128" s="447"/>
      <c r="D128" s="113">
        <f>F128*H128</f>
        <v>1</v>
      </c>
      <c r="E128" s="90" t="s">
        <v>55</v>
      </c>
      <c r="F128" s="114">
        <v>1</v>
      </c>
      <c r="G128" s="90" t="s">
        <v>40</v>
      </c>
      <c r="H128" s="114">
        <v>1</v>
      </c>
    </row>
    <row r="129" spans="1:9" ht="15" thickBot="1" x14ac:dyDescent="0.4">
      <c r="B129" s="447" t="str">
        <f>"Projected " &amp;year-1&amp;" to " &amp;year</f>
        <v>Projected 2020 to 2021</v>
      </c>
      <c r="C129" s="447"/>
      <c r="D129" s="113">
        <f>F129*H129</f>
        <v>1</v>
      </c>
      <c r="E129" s="90" t="s">
        <v>55</v>
      </c>
      <c r="F129" s="114">
        <v>1</v>
      </c>
      <c r="G129" s="90" t="s">
        <v>40</v>
      </c>
      <c r="H129" s="114">
        <v>1</v>
      </c>
    </row>
    <row r="131" spans="1:9" ht="15" thickBot="1" x14ac:dyDescent="0.4">
      <c r="A131" s="432" t="s">
        <v>47</v>
      </c>
      <c r="B131" s="433"/>
      <c r="C131" s="433"/>
      <c r="D131" s="433"/>
      <c r="E131" s="433"/>
      <c r="F131" s="433"/>
      <c r="G131" s="433"/>
      <c r="H131" s="433"/>
      <c r="I131" s="434"/>
    </row>
    <row r="132" spans="1:9" ht="15" thickTop="1" x14ac:dyDescent="0.35">
      <c r="A132" s="435" t="s">
        <v>364</v>
      </c>
      <c r="B132" s="436"/>
      <c r="C132" s="436"/>
      <c r="D132" s="436"/>
      <c r="E132" s="436"/>
      <c r="F132" s="436"/>
      <c r="G132" s="436"/>
      <c r="H132" s="436"/>
      <c r="I132" s="437"/>
    </row>
    <row r="133" spans="1:9" x14ac:dyDescent="0.35">
      <c r="A133" s="438"/>
      <c r="B133" s="439"/>
      <c r="C133" s="439"/>
      <c r="D133" s="439"/>
      <c r="E133" s="439"/>
      <c r="F133" s="439"/>
      <c r="G133" s="439"/>
      <c r="H133" s="439"/>
      <c r="I133" s="440"/>
    </row>
    <row r="134" spans="1:9" x14ac:dyDescent="0.35">
      <c r="A134" s="7"/>
      <c r="B134" s="7"/>
      <c r="C134" s="7"/>
      <c r="D134" s="7"/>
      <c r="E134" s="29"/>
      <c r="F134" s="7"/>
      <c r="G134" s="7"/>
      <c r="H134" s="7"/>
      <c r="I134" s="7"/>
    </row>
    <row r="135" spans="1:9" x14ac:dyDescent="0.35">
      <c r="A135" s="9" t="s">
        <v>335</v>
      </c>
      <c r="B135" s="7"/>
      <c r="C135" s="7"/>
      <c r="D135" s="7"/>
      <c r="E135" s="7"/>
      <c r="F135" s="7"/>
      <c r="G135" s="7"/>
      <c r="H135" s="7"/>
      <c r="I135" s="7"/>
    </row>
    <row r="137" spans="1:9" ht="15" thickBot="1" x14ac:dyDescent="0.4">
      <c r="D137" s="115" t="s">
        <v>56</v>
      </c>
      <c r="E137" s="115" t="s">
        <v>48</v>
      </c>
      <c r="F137" s="115" t="s">
        <v>57</v>
      </c>
      <c r="G137" s="115" t="s">
        <v>58</v>
      </c>
      <c r="H137" s="115" t="s">
        <v>59</v>
      </c>
      <c r="I137" s="115" t="s">
        <v>60</v>
      </c>
    </row>
    <row r="138" spans="1:9" ht="15" thickBot="1" x14ac:dyDescent="0.4">
      <c r="B138" s="447" t="str">
        <f>year-3&amp;" to "  &amp;year-2</f>
        <v>2018 to 2019</v>
      </c>
      <c r="C138" s="447"/>
      <c r="D138" s="106" t="e">
        <f>(1+(($F138-1)*$H138)+(($G138-1)*$I138))/($F138+$G138-1)</f>
        <v>#DIV/0!</v>
      </c>
      <c r="E138" s="106" t="e">
        <f>B104</f>
        <v>#DIV/0!</v>
      </c>
      <c r="F138" s="34" t="e">
        <f>$E138-$G138+1</f>
        <v>#DIV/0!</v>
      </c>
      <c r="G138" s="114">
        <v>1</v>
      </c>
      <c r="H138" s="114">
        <v>1</v>
      </c>
      <c r="I138" s="114">
        <v>1</v>
      </c>
    </row>
    <row r="139" spans="1:9" ht="15" thickBot="1" x14ac:dyDescent="0.4">
      <c r="B139" s="447" t="str">
        <f>"Projected " &amp;year-2&amp; " to " &amp;year-1</f>
        <v>Projected 2019 to 2020</v>
      </c>
      <c r="C139" s="447"/>
      <c r="D139" s="106" t="e">
        <f>(1+(($F139-1)*$H139)+(($G139-1)*$I139))/($F139+$G139-1)</f>
        <v>#DIV/0!</v>
      </c>
      <c r="E139" s="106" t="e">
        <f>D104</f>
        <v>#DIV/0!</v>
      </c>
      <c r="F139" s="34" t="e">
        <f>$E139-$G139+1</f>
        <v>#DIV/0!</v>
      </c>
      <c r="G139" s="114">
        <v>1</v>
      </c>
      <c r="H139" s="114">
        <v>1</v>
      </c>
      <c r="I139" s="114">
        <v>1</v>
      </c>
    </row>
    <row r="140" spans="1:9" ht="15" thickBot="1" x14ac:dyDescent="0.4">
      <c r="B140" s="447" t="str">
        <f>"Projected " &amp;year-1&amp;" to " &amp;year</f>
        <v>Projected 2020 to 2021</v>
      </c>
      <c r="C140" s="447"/>
      <c r="D140" s="106" t="e">
        <f>(1+(($F140-1)*$H140)+(($G140-1)*$I140))/($F140+$G140-1)</f>
        <v>#DIV/0!</v>
      </c>
      <c r="E140" s="106" t="e">
        <f>F104</f>
        <v>#DIV/0!</v>
      </c>
      <c r="F140" s="34" t="e">
        <f>$E140-$G140+1</f>
        <v>#DIV/0!</v>
      </c>
      <c r="G140" s="114">
        <v>1</v>
      </c>
      <c r="H140" s="114">
        <v>1</v>
      </c>
      <c r="I140" s="114">
        <v>1</v>
      </c>
    </row>
    <row r="141" spans="1:9" x14ac:dyDescent="0.35">
      <c r="A141" s="116"/>
      <c r="B141" s="116"/>
      <c r="C141" s="116"/>
      <c r="D141" s="116"/>
    </row>
    <row r="143" spans="1:9" x14ac:dyDescent="0.35">
      <c r="A143" s="9" t="s">
        <v>213</v>
      </c>
    </row>
    <row r="144" spans="1:9" ht="15" thickBot="1" x14ac:dyDescent="0.4"/>
    <row r="145" spans="1:9" ht="15" thickBot="1" x14ac:dyDescent="0.4">
      <c r="D145" s="115" t="s">
        <v>61</v>
      </c>
      <c r="E145" s="117"/>
      <c r="F145" s="117"/>
      <c r="G145" s="117"/>
    </row>
    <row r="146" spans="1:9" ht="15" thickBot="1" x14ac:dyDescent="0.4">
      <c r="B146" s="447" t="str">
        <f>year-3&amp;" to "  &amp;year-2</f>
        <v>2018 to 2019</v>
      </c>
      <c r="C146" s="447"/>
      <c r="D146" s="106">
        <f>E146*F146*G146</f>
        <v>1</v>
      </c>
      <c r="E146" s="107">
        <v>1</v>
      </c>
      <c r="F146" s="107">
        <v>1</v>
      </c>
      <c r="G146" s="107">
        <v>1</v>
      </c>
    </row>
    <row r="147" spans="1:9" ht="15" thickBot="1" x14ac:dyDescent="0.4">
      <c r="B147" s="447" t="str">
        <f>"Projected " &amp;year-2&amp; " to " &amp;year-1</f>
        <v>Projected 2019 to 2020</v>
      </c>
      <c r="C147" s="447"/>
      <c r="D147" s="106">
        <f>E147*F147*G147</f>
        <v>1</v>
      </c>
      <c r="E147" s="107">
        <v>1</v>
      </c>
      <c r="F147" s="107">
        <v>1</v>
      </c>
      <c r="G147" s="107">
        <v>1</v>
      </c>
    </row>
    <row r="148" spans="1:9" ht="15" thickBot="1" x14ac:dyDescent="0.4">
      <c r="B148" s="447" t="str">
        <f>"Projected " &amp;year-1&amp;" to " &amp;year</f>
        <v>Projected 2020 to 2021</v>
      </c>
      <c r="C148" s="447"/>
      <c r="D148" s="106">
        <f>E148*F148*G148</f>
        <v>1</v>
      </c>
      <c r="E148" s="107">
        <v>1</v>
      </c>
      <c r="F148" s="107">
        <v>1</v>
      </c>
      <c r="G148" s="107">
        <v>1</v>
      </c>
    </row>
    <row r="149" spans="1:9" x14ac:dyDescent="0.35">
      <c r="A149" s="116"/>
    </row>
    <row r="151" spans="1:9" x14ac:dyDescent="0.35">
      <c r="A151" s="32" t="s">
        <v>214</v>
      </c>
    </row>
    <row r="152" spans="1:9" ht="15" thickBot="1" x14ac:dyDescent="0.4"/>
    <row r="153" spans="1:9" ht="15" thickBot="1" x14ac:dyDescent="0.4">
      <c r="B153" s="448" t="s">
        <v>62</v>
      </c>
      <c r="C153" s="448"/>
      <c r="D153" s="448"/>
      <c r="E153" s="448"/>
      <c r="F153" s="448"/>
      <c r="G153" s="83"/>
      <c r="H153" s="44" t="s">
        <v>144</v>
      </c>
      <c r="I153" s="45"/>
    </row>
    <row r="154" spans="1:9" x14ac:dyDescent="0.35">
      <c r="B154" s="115" t="s">
        <v>28</v>
      </c>
      <c r="C154" s="115" t="s">
        <v>63</v>
      </c>
      <c r="D154" s="115" t="s">
        <v>51</v>
      </c>
      <c r="E154" s="115" t="s">
        <v>56</v>
      </c>
      <c r="F154" s="115" t="s">
        <v>64</v>
      </c>
      <c r="G154" s="115" t="s">
        <v>65</v>
      </c>
      <c r="H154" s="46" t="s">
        <v>215</v>
      </c>
      <c r="I154" s="47"/>
    </row>
    <row r="155" spans="1:9" ht="15" thickBot="1" x14ac:dyDescent="0.4">
      <c r="A155" s="101" t="str">
        <f>year-3&amp;"   "</f>
        <v xml:space="preserve">2018   </v>
      </c>
      <c r="G155" s="118">
        <f>E73</f>
        <v>0</v>
      </c>
      <c r="H155" s="49" t="s">
        <v>145</v>
      </c>
      <c r="I155" s="50"/>
    </row>
    <row r="156" spans="1:9" x14ac:dyDescent="0.35">
      <c r="A156" s="101" t="str">
        <f>year-2&amp;" x"</f>
        <v>2019 x</v>
      </c>
      <c r="B156" s="106" t="e">
        <f>B104</f>
        <v>#DIV/0!</v>
      </c>
      <c r="C156" s="106" t="e">
        <f>IF(B119=0,B120,B119)</f>
        <v>#DIV/0!</v>
      </c>
      <c r="D156" s="106" t="e">
        <f>IF(ABS((G73/(B156*C156*G155*F156*E156))-D127)&gt;0.012,0,G73/(B156*C156*G155*F156*E156))</f>
        <v>#DIV/0!</v>
      </c>
      <c r="E156" s="106" t="e">
        <f>D138</f>
        <v>#DIV/0!</v>
      </c>
      <c r="F156" s="106">
        <f>D146</f>
        <v>1</v>
      </c>
      <c r="G156" s="118" t="e">
        <f>G155*B156*C156*D156*E156*F156</f>
        <v>#DIV/0!</v>
      </c>
    </row>
    <row r="157" spans="1:9" x14ac:dyDescent="0.35">
      <c r="A157" s="101" t="str">
        <f>year-1&amp;" x"</f>
        <v>2020 x</v>
      </c>
      <c r="B157" s="106" t="e">
        <f>D104</f>
        <v>#DIV/0!</v>
      </c>
      <c r="C157" s="106" t="e">
        <f>IF(C119=0,C120,C119)</f>
        <v>#DIV/0!</v>
      </c>
      <c r="D157" s="106">
        <f>D128</f>
        <v>1</v>
      </c>
      <c r="E157" s="106" t="e">
        <f>D139</f>
        <v>#DIV/0!</v>
      </c>
      <c r="F157" s="106">
        <f>D147</f>
        <v>1</v>
      </c>
      <c r="G157" s="118" t="e">
        <f>G156*B157*C157*D157*E157*F157</f>
        <v>#DIV/0!</v>
      </c>
    </row>
    <row r="158" spans="1:9" x14ac:dyDescent="0.35">
      <c r="A158" s="101" t="str">
        <f>year&amp;" x"</f>
        <v>2021 x</v>
      </c>
      <c r="B158" s="106" t="e">
        <f>F104</f>
        <v>#DIV/0!</v>
      </c>
      <c r="C158" s="106" t="e">
        <f>IF(D119=0,D120,D119)</f>
        <v>#DIV/0!</v>
      </c>
      <c r="D158" s="106">
        <f>D129</f>
        <v>1</v>
      </c>
      <c r="E158" s="106" t="e">
        <f>D140</f>
        <v>#DIV/0!</v>
      </c>
      <c r="F158" s="106">
        <f>D148</f>
        <v>1</v>
      </c>
      <c r="G158" s="118" t="e">
        <f>G157*B158*C158*D158*E158*F158</f>
        <v>#DIV/0!</v>
      </c>
    </row>
    <row r="160" spans="1:9" x14ac:dyDescent="0.35">
      <c r="A160" s="32" t="str">
        <f>"11. December 31, " &amp;year-2&amp; " Special Reserve"</f>
        <v>11. December 31, 2019 Special Reserve</v>
      </c>
    </row>
    <row r="161" spans="1:6" x14ac:dyDescent="0.35">
      <c r="A161" s="32" t="str">
        <f>"   (a) " &amp;year-4&amp;", " &amp;year-3&amp;" and " &amp;year-2&amp;" Claims Paid Through 12/31/" &amp;year-2</f>
        <v xml:space="preserve">   (a) 2017, 2018 and 2019 Claims Paid Through 12/31/2019</v>
      </c>
      <c r="F161" s="118">
        <f>C65+E65+G65</f>
        <v>0</v>
      </c>
    </row>
    <row r="162" spans="1:6" x14ac:dyDescent="0.35">
      <c r="A162" s="32" t="str">
        <f>"   (b) " &amp;year-4&amp;", " &amp;year-3&amp;" and " &amp;year-2&amp;" Estimated Incurred Claims"</f>
        <v xml:space="preserve">   (b) 2017, 2018 and 2019 Estimated Incurred Claims</v>
      </c>
      <c r="F162" s="118">
        <f>C73+E73+G73</f>
        <v>0</v>
      </c>
    </row>
    <row r="163" spans="1:6" ht="15" thickBot="1" x14ac:dyDescent="0.4">
      <c r="A163" s="32" t="s">
        <v>66</v>
      </c>
      <c r="F163" s="118">
        <f>F162-F161</f>
        <v>0</v>
      </c>
    </row>
    <row r="164" spans="1:6" ht="15" thickBot="1" x14ac:dyDescent="0.4">
      <c r="A164" s="32" t="str">
        <f>"   (d) 12/31/" &amp;year-2&amp;" Accounting Stmt Accrued Claims Reserve"</f>
        <v xml:space="preserve">   (d) 12/31/2019 Accounting Stmt Accrued Claims Reserve</v>
      </c>
      <c r="F164" s="82"/>
    </row>
    <row r="165" spans="1:6" ht="15" thickBot="1" x14ac:dyDescent="0.4">
      <c r="A165" s="32" t="str">
        <f>"   (e) 12/31/" &amp;year-2&amp;" Accounting Stmt Accrued Expense Reserve"</f>
        <v xml:space="preserve">   (e) 12/31/2019 Accounting Stmt Accrued Expense Reserve</v>
      </c>
      <c r="F165" s="82"/>
    </row>
    <row r="166" spans="1:6" ht="15" thickBot="1" x14ac:dyDescent="0.4">
      <c r="A166" s="32" t="str">
        <f>"   (f) 12/31/" &amp;year-2&amp;" Accounting Stmt Special Reserve"</f>
        <v xml:space="preserve">   (f) 12/31/2019 Accounting Stmt Special Reserve</v>
      </c>
      <c r="F166" s="82"/>
    </row>
    <row r="167" spans="1:6" x14ac:dyDescent="0.35">
      <c r="A167" s="32" t="s">
        <v>67</v>
      </c>
      <c r="F167" s="118">
        <f>F164+F165+F166-F163-F165</f>
        <v>0</v>
      </c>
    </row>
    <row r="169" spans="1:6" x14ac:dyDescent="0.35">
      <c r="A169" s="32" t="s">
        <v>216</v>
      </c>
    </row>
    <row r="170" spans="1:6" x14ac:dyDescent="0.35">
      <c r="A170" s="32" t="str">
        <f>"   (a) 12/31/" &amp;year-2&amp;" Accrued Claims Reserve"</f>
        <v xml:space="preserve">   (a) 12/31/2019 Accrued Claims Reserve</v>
      </c>
      <c r="F170" s="118">
        <f>F163</f>
        <v>0</v>
      </c>
    </row>
    <row r="171" spans="1:6" x14ac:dyDescent="0.35">
      <c r="A171" s="32" t="str">
        <f>"   (b) 12/31/"&amp;year-1&amp;" Est. Accrued Claims Reserve ("&amp;year-2003&amp;" - "&amp;year-2001&amp;" Ultimate Claims Against Run Out)"</f>
        <v xml:space="preserve">   (b) 12/31/2020 Est. Accrued Claims Reserve (18 - 20 Ultimate Claims Against Run Out)</v>
      </c>
      <c r="F171" s="118" t="e">
        <f>G155*(1-C80)+G156*(1-E80)+G157*(1-G80)</f>
        <v>#DIV/0!</v>
      </c>
    </row>
    <row r="172" spans="1:6" x14ac:dyDescent="0.35">
      <c r="A172" s="32" t="str">
        <f>"   (c) 12/31/" &amp;year&amp;" Est. Accrued Claims Reserve (" &amp;year-2002&amp; " - " &amp;year-2000&amp; " Ultimate Claims Against Run Out)"</f>
        <v xml:space="preserve">   (c) 12/31/2021 Est. Accrued Claims Reserve (19 - 21 Ultimate Claims Against Run Out)</v>
      </c>
      <c r="F172" s="118" t="e">
        <f>G157*(1-(E65/E73))+G158*(1-(G65/G73))</f>
        <v>#DIV/0!</v>
      </c>
    </row>
    <row r="174" spans="1:6" x14ac:dyDescent="0.35">
      <c r="A174" s="32" t="s">
        <v>217</v>
      </c>
    </row>
    <row r="175" spans="1:6" x14ac:dyDescent="0.35">
      <c r="A175" s="32" t="str">
        <f>"   (a)"</f>
        <v xml:space="preserve">   (a)</v>
      </c>
      <c r="C175" s="83" t="s">
        <v>71</v>
      </c>
      <c r="E175" s="83" t="s">
        <v>61</v>
      </c>
    </row>
    <row r="176" spans="1:6" x14ac:dyDescent="0.35">
      <c r="B176" s="115" t="s">
        <v>68</v>
      </c>
      <c r="C176" s="115" t="s">
        <v>69</v>
      </c>
      <c r="E176" s="115" t="s">
        <v>70</v>
      </c>
    </row>
    <row r="177" spans="1:13" ht="15" thickBot="1" x14ac:dyDescent="0.4"/>
    <row r="178" spans="1:13" ht="15" thickBot="1" x14ac:dyDescent="0.4">
      <c r="B178" s="83">
        <f>year-2</f>
        <v>2019</v>
      </c>
      <c r="C178" s="82"/>
      <c r="E178" s="82"/>
    </row>
    <row r="179" spans="1:13" ht="15" thickBot="1" x14ac:dyDescent="0.4">
      <c r="B179" s="83">
        <f>year-1</f>
        <v>2020</v>
      </c>
      <c r="C179" s="82"/>
      <c r="E179" s="82"/>
    </row>
    <row r="180" spans="1:13" ht="15" thickBot="1" x14ac:dyDescent="0.4">
      <c r="B180" s="83">
        <f>year</f>
        <v>2021</v>
      </c>
      <c r="C180" s="82"/>
      <c r="E180" s="82"/>
    </row>
    <row r="182" spans="1:13" x14ac:dyDescent="0.35">
      <c r="A182" s="32" t="str">
        <f>"   (b)"</f>
        <v xml:space="preserve">   (b)</v>
      </c>
      <c r="C182" s="83" t="s">
        <v>71</v>
      </c>
      <c r="E182" s="83" t="s">
        <v>71</v>
      </c>
    </row>
    <row r="183" spans="1:13" x14ac:dyDescent="0.35">
      <c r="B183" s="115" t="s">
        <v>68</v>
      </c>
      <c r="C183" s="115" t="s">
        <v>72</v>
      </c>
      <c r="E183" s="115" t="s">
        <v>73</v>
      </c>
    </row>
    <row r="185" spans="1:13" x14ac:dyDescent="0.35">
      <c r="B185" s="83">
        <f>year-2</f>
        <v>2019</v>
      </c>
      <c r="C185" s="118" t="e">
        <f>C178/(G80+(G155/G156)-G80*(G155/G156))</f>
        <v>#DIV/0!</v>
      </c>
      <c r="E185" s="118">
        <f>F165</f>
        <v>0</v>
      </c>
    </row>
    <row r="186" spans="1:13" x14ac:dyDescent="0.35">
      <c r="B186" s="83">
        <f>year-1</f>
        <v>2020</v>
      </c>
      <c r="C186" s="118" t="e">
        <f>(C179-C185*(1-(G65/G73)))/(G65/G73)</f>
        <v>#DIV/0!</v>
      </c>
      <c r="E186" s="118" t="e">
        <f>C186*(1-(G65/G73))</f>
        <v>#DIV/0!</v>
      </c>
    </row>
    <row r="187" spans="1:13" x14ac:dyDescent="0.35">
      <c r="B187" s="83">
        <f>year</f>
        <v>2021</v>
      </c>
      <c r="C187" s="118" t="e">
        <f>(C180-C186*(1-(G65/G73)))/(G65/G73)</f>
        <v>#DIV/0!</v>
      </c>
      <c r="E187" s="118" t="e">
        <f>C187*(1-(G65/G73))</f>
        <v>#DIV/0!</v>
      </c>
    </row>
    <row r="188" spans="1:13" ht="15" thickBot="1" x14ac:dyDescent="0.4"/>
    <row r="189" spans="1:13" ht="15" thickBot="1" x14ac:dyDescent="0.4">
      <c r="A189" s="32" t="str">
        <f>"   (c) " &amp;year&amp; " Estimate of Service Charge (to be negotiated with Office of Insurance Operations)"</f>
        <v xml:space="preserve">   (c) 2021 Estimate of Service Charge (to be negotiated with Office of Insurance Operations)</v>
      </c>
      <c r="F189" s="119"/>
    </row>
    <row r="190" spans="1:13" ht="15" thickBot="1" x14ac:dyDescent="0.4">
      <c r="A190" s="32" t="str">
        <f>"   (d) " &amp;year&amp; " Estimated Cost of Facility Capital"</f>
        <v xml:space="preserve">   (d) 2021 Estimated Cost of Facility Capital</v>
      </c>
      <c r="F190" s="119"/>
    </row>
    <row r="192" spans="1:13" x14ac:dyDescent="0.35">
      <c r="A192" s="241" t="s">
        <v>197</v>
      </c>
      <c r="B192" s="241"/>
      <c r="C192" s="241"/>
      <c r="D192" s="241"/>
      <c r="E192" s="241"/>
      <c r="F192" s="241"/>
      <c r="G192" s="241"/>
      <c r="H192" s="241"/>
      <c r="I192" s="241"/>
      <c r="J192" s="241"/>
      <c r="K192" s="241"/>
      <c r="L192" s="241"/>
      <c r="M192" s="241"/>
    </row>
    <row r="193" spans="1:18" x14ac:dyDescent="0.35">
      <c r="A193" s="241" t="s">
        <v>196</v>
      </c>
      <c r="B193" s="241"/>
      <c r="C193" s="241"/>
      <c r="D193" s="241"/>
      <c r="E193" s="241"/>
      <c r="F193" s="241"/>
      <c r="G193" s="241"/>
      <c r="H193" s="241"/>
      <c r="I193" s="241"/>
      <c r="J193" s="241"/>
      <c r="K193" s="241"/>
      <c r="L193" s="241"/>
      <c r="M193" s="241"/>
    </row>
    <row r="196" spans="1:18" x14ac:dyDescent="0.35">
      <c r="A196" s="32" t="str">
        <f>"14. " &amp;year-1&amp; " Contingency Reserve Payment, Interest, Investment Income and Reserve Calculations"</f>
        <v>14. 2020 Contingency Reserve Payment, Interest, Investment Income and Reserve Calculations</v>
      </c>
    </row>
    <row r="197" spans="1:18" ht="15" thickBot="1" x14ac:dyDescent="0.4">
      <c r="A197" s="32" t="str">
        <f>"   (a) Contingency Reserve"</f>
        <v xml:space="preserve">   (a) Contingency Reserve</v>
      </c>
    </row>
    <row r="198" spans="1:18" ht="15" thickBot="1" x14ac:dyDescent="0.4">
      <c r="A198" s="32" t="str">
        <f>"      (1) Contingency Reserve Balance as of 12/31/" &amp;year-2</f>
        <v xml:space="preserve">      (1) Contingency Reserve Balance as of 12/31/2019</v>
      </c>
      <c r="E198" s="82"/>
    </row>
    <row r="200" spans="1:18" x14ac:dyDescent="0.35">
      <c r="A200" s="7" t="s">
        <v>199</v>
      </c>
    </row>
    <row r="201" spans="1:18" x14ac:dyDescent="0.35">
      <c r="A201" s="7" t="s">
        <v>200</v>
      </c>
    </row>
    <row r="202" spans="1:18" x14ac:dyDescent="0.35">
      <c r="A202" s="7" t="s">
        <v>329</v>
      </c>
    </row>
    <row r="203" spans="1:18" ht="15" thickBot="1" x14ac:dyDescent="0.4">
      <c r="A203" s="7"/>
    </row>
    <row r="204" spans="1:18" ht="15" thickBot="1" x14ac:dyDescent="0.4">
      <c r="A204" s="32" t="str">
        <f>"          (a) 1st Expected Non-Standard CR Payment made in " &amp;year-1</f>
        <v xml:space="preserve">          (a) 1st Expected Non-Standard CR Payment made in 2020</v>
      </c>
      <c r="E204" s="82">
        <v>0</v>
      </c>
    </row>
    <row r="205" spans="1:18" ht="15" thickBot="1" x14ac:dyDescent="0.4">
      <c r="A205" s="32" t="str">
        <f>"          (b) Month of 1st Non-Standard CR Payment in " &amp;year-1</f>
        <v xml:space="preserve">          (b) Month of 1st Non-Standard CR Payment in 2020</v>
      </c>
      <c r="E205" s="120" t="s">
        <v>75</v>
      </c>
    </row>
    <row r="206" spans="1:18" ht="15" thickBot="1" x14ac:dyDescent="0.4">
      <c r="A206" s="32" t="str">
        <f>"          (c) 2nd Expected Non-Standard CR Payment made in " &amp;year-1</f>
        <v xml:space="preserve">          (c) 2nd Expected Non-Standard CR Payment made in 2020</v>
      </c>
      <c r="E206" s="82">
        <v>0</v>
      </c>
    </row>
    <row r="207" spans="1:18" ht="15" thickBot="1" x14ac:dyDescent="0.4">
      <c r="A207" s="32" t="str">
        <f>"          (d) Month of 2nd Non-Standard CR Payment in " &amp;year-1</f>
        <v xml:space="preserve">          (d) Month of 2nd Non-Standard CR Payment in 2020</v>
      </c>
      <c r="E207" s="120" t="s">
        <v>75</v>
      </c>
    </row>
    <row r="208" spans="1:18" ht="15" thickBot="1" x14ac:dyDescent="0.4">
      <c r="A208" s="32" t="str">
        <f>"          (e) 3rd Expected Non-Standard CR Payment made in " &amp;year-1</f>
        <v xml:space="preserve">          (e) 3rd Expected Non-Standard CR Payment made in 2020</v>
      </c>
      <c r="E208" s="82">
        <v>0</v>
      </c>
      <c r="R208" s="4"/>
    </row>
    <row r="209" spans="1:18" s="4" customFormat="1" ht="15" thickBot="1" x14ac:dyDescent="0.4">
      <c r="A209" s="32" t="str">
        <f>"          (f) Month of 3rd Non-Standard CR Payment in " &amp;year-1</f>
        <v xml:space="preserve">          (f) Month of 3rd Non-Standard CR Payment in 2020</v>
      </c>
      <c r="B209" s="54"/>
      <c r="C209" s="54"/>
      <c r="D209" s="54"/>
      <c r="E209" s="120" t="s">
        <v>75</v>
      </c>
      <c r="F209" s="54"/>
      <c r="G209" s="54"/>
      <c r="H209" s="54"/>
      <c r="I209" s="54"/>
      <c r="J209" s="54"/>
      <c r="K209" s="54"/>
      <c r="L209" s="54"/>
      <c r="M209" s="54"/>
      <c r="N209" s="241"/>
      <c r="O209" s="241"/>
    </row>
    <row r="210" spans="1:18" s="4" customFormat="1" ht="15" thickBot="1" x14ac:dyDescent="0.4">
      <c r="A210" s="32" t="str">
        <f>"          (g) 1st Expected Non-Standard CR Payment made in " &amp;year</f>
        <v xml:space="preserve">          (g) 1st Expected Non-Standard CR Payment made in 2021</v>
      </c>
      <c r="B210" s="54"/>
      <c r="C210" s="54"/>
      <c r="D210" s="54"/>
      <c r="E210" s="82">
        <v>0</v>
      </c>
      <c r="F210" s="54"/>
      <c r="G210" s="54"/>
      <c r="H210" s="54"/>
      <c r="I210" s="54"/>
      <c r="J210" s="54"/>
      <c r="K210" s="54"/>
      <c r="L210" s="54"/>
      <c r="M210" s="54"/>
      <c r="N210" s="241"/>
      <c r="O210" s="241"/>
      <c r="R210" s="54"/>
    </row>
    <row r="211" spans="1:18" ht="15" thickBot="1" x14ac:dyDescent="0.4">
      <c r="A211" s="32" t="str">
        <f>"          (h) Month of 1st Non-Standard CR Payment in " &amp;year</f>
        <v xml:space="preserve">          (h) Month of 1st Non-Standard CR Payment in 2021</v>
      </c>
      <c r="E211" s="120" t="s">
        <v>75</v>
      </c>
      <c r="R211" s="4"/>
    </row>
    <row r="212" spans="1:18" s="4" customFormat="1" ht="15" thickBot="1" x14ac:dyDescent="0.4">
      <c r="A212" s="32" t="str">
        <f>"          (i) 2nd Expected Non-Standard CR Payment made in " &amp;year</f>
        <v xml:space="preserve">          (i) 2nd Expected Non-Standard CR Payment made in 2021</v>
      </c>
      <c r="B212" s="54"/>
      <c r="C212" s="54"/>
      <c r="D212" s="54"/>
      <c r="E212" s="82">
        <v>0</v>
      </c>
      <c r="F212" s="54"/>
      <c r="G212" s="54"/>
      <c r="H212" s="54"/>
      <c r="I212" s="54"/>
      <c r="J212" s="54"/>
      <c r="K212" s="54"/>
      <c r="L212" s="54"/>
      <c r="M212" s="54"/>
    </row>
    <row r="213" spans="1:18" s="4" customFormat="1" ht="15" thickBot="1" x14ac:dyDescent="0.4">
      <c r="A213" s="32" t="str">
        <f>"          (j) Month of 2nd Non-Standard CR Payment in " &amp;year</f>
        <v xml:space="preserve">          (j) Month of 2nd Non-Standard CR Payment in 2021</v>
      </c>
      <c r="B213" s="54"/>
      <c r="C213" s="54"/>
      <c r="D213" s="54"/>
      <c r="E213" s="120" t="s">
        <v>75</v>
      </c>
      <c r="F213" s="54"/>
      <c r="G213" s="54"/>
      <c r="H213" s="54"/>
      <c r="I213" s="54"/>
      <c r="J213" s="54"/>
      <c r="K213" s="54"/>
      <c r="L213" s="54"/>
      <c r="M213" s="54"/>
    </row>
    <row r="214" spans="1:18" s="4" customFormat="1" ht="15" thickBot="1" x14ac:dyDescent="0.4">
      <c r="A214" s="32" t="str">
        <f>"          (k) 3rd Expected Non-Standard CR Payment made in " &amp;year</f>
        <v xml:space="preserve">          (k) 3rd Expected Non-Standard CR Payment made in 2021</v>
      </c>
      <c r="B214" s="54"/>
      <c r="C214" s="54"/>
      <c r="D214" s="54"/>
      <c r="E214" s="82">
        <v>0</v>
      </c>
      <c r="F214" s="54"/>
      <c r="G214" s="54"/>
      <c r="H214" s="54"/>
      <c r="I214" s="54"/>
      <c r="J214" s="54"/>
      <c r="K214" s="54"/>
      <c r="L214" s="54"/>
      <c r="M214" s="54"/>
    </row>
    <row r="215" spans="1:18" s="4" customFormat="1" ht="15" thickBot="1" x14ac:dyDescent="0.4">
      <c r="A215" s="32" t="str">
        <f>"          (l) Month of 3rd Non-Standard CR Payment in " &amp;year</f>
        <v xml:space="preserve">          (l) Month of 3rd Non-Standard CR Payment in 2021</v>
      </c>
      <c r="B215" s="54"/>
      <c r="C215" s="54"/>
      <c r="D215" s="54"/>
      <c r="E215" s="120" t="s">
        <v>75</v>
      </c>
      <c r="F215" s="54"/>
      <c r="G215" s="54"/>
      <c r="H215" s="54"/>
      <c r="I215" s="54"/>
      <c r="J215" s="54"/>
      <c r="K215" s="54"/>
      <c r="L215" s="54"/>
      <c r="M215" s="54"/>
      <c r="R215" s="54"/>
    </row>
    <row r="216" spans="1:18" ht="15" thickBot="1" x14ac:dyDescent="0.4">
      <c r="E216" s="65"/>
    </row>
    <row r="217" spans="1:18" ht="15" thickBot="1" x14ac:dyDescent="0.4">
      <c r="A217" s="32" t="str">
        <f>"      (2) Claims Paid During the Last 6 Months of " &amp;year-2</f>
        <v xml:space="preserve">      (2) Claims Paid During the Last 6 Months of 2019</v>
      </c>
      <c r="E217" s="82"/>
    </row>
    <row r="220" spans="1:18" x14ac:dyDescent="0.35">
      <c r="A220" s="32" t="str">
        <f>"15. " &amp;year-1&amp; " Contingency Payment, Int. &amp; Inv. Income, and Reserve Calculation"</f>
        <v>15. 2020 Contingency Payment, Int. &amp; Inv. Income, and Reserve Calculation</v>
      </c>
    </row>
    <row r="221" spans="1:18" x14ac:dyDescent="0.35">
      <c r="A221" s="32"/>
    </row>
    <row r="222" spans="1:18" x14ac:dyDescent="0.35">
      <c r="A222" s="32" t="str">
        <f>"          (a) Contingency Reserve "</f>
        <v xml:space="preserve">          (a) Contingency Reserve </v>
      </c>
    </row>
    <row r="223" spans="1:18" x14ac:dyDescent="0.35">
      <c r="A223" s="32" t="str">
        <f>"                   (1) Contingency Reserve Balance on 12/31/" &amp;year-2</f>
        <v xml:space="preserve">                   (1) Contingency Reserve Balance on 12/31/2019</v>
      </c>
      <c r="F223" s="55">
        <f>E198</f>
        <v>0</v>
      </c>
    </row>
    <row r="224" spans="1:18" x14ac:dyDescent="0.35">
      <c r="A224" s="32" t="str">
        <f>"                   (2) Claims Paid During the Last 6 Months of " &amp;year-2</f>
        <v xml:space="preserve">                   (2) Claims Paid During the Last 6 Months of 2019</v>
      </c>
      <c r="F224" s="55">
        <f>E217</f>
        <v>0</v>
      </c>
    </row>
    <row r="225" spans="1:13" x14ac:dyDescent="0.35">
      <c r="A225" s="32" t="str">
        <f>"                   (3) Paid Expenses for " &amp;year-2</f>
        <v xml:space="preserve">                   (3) Paid Expenses for 2019</v>
      </c>
      <c r="F225" s="55">
        <f>C178+E178</f>
        <v>0</v>
      </c>
    </row>
    <row r="226" spans="1:13" x14ac:dyDescent="0.35">
      <c r="A226" s="32" t="str">
        <f>"                   (4) Three and One-Half Months of Paid Outgo"</f>
        <v xml:space="preserve">                   (4) Three and One-Half Months of Paid Outgo</v>
      </c>
      <c r="F226" s="55">
        <f>(7/12*F224)+(7/24*F225)</f>
        <v>0</v>
      </c>
    </row>
    <row r="227" spans="1:13" x14ac:dyDescent="0.35">
      <c r="A227" s="32" t="str">
        <f>"                   (5) Preferred Minimum Balance"</f>
        <v xml:space="preserve">                   (5) Preferred Minimum Balance</v>
      </c>
      <c r="F227" s="55">
        <f>3/7*F226</f>
        <v>0</v>
      </c>
    </row>
    <row r="228" spans="1:13" x14ac:dyDescent="0.35">
      <c r="A228" s="32" t="str">
        <f>"                   (6) Accrued Claims Reserve + Accrued Exp Reserve + Special Reserve 12/31/"&amp;year-2</f>
        <v xml:space="preserve">                   (6) Accrued Claims Reserve + Accrued Exp Reserve + Special Reserve 12/31/2019</v>
      </c>
      <c r="F228" s="55">
        <f>F165+F163+F167</f>
        <v>0</v>
      </c>
    </row>
    <row r="229" spans="1:13" x14ac:dyDescent="0.35">
      <c r="A229" s="32" t="str">
        <f>"                   (7) " &amp;year-1&amp; " Contingency Reserve Payment to LOCA/(LOCA Payment to CR)"</f>
        <v xml:space="preserve">                   (7) 2020 Contingency Reserve Payment to LOCA/(LOCA Payment to CR)</v>
      </c>
      <c r="B229" s="202"/>
      <c r="C229" s="202"/>
      <c r="D229" s="202"/>
      <c r="E229" s="202"/>
      <c r="F229" s="212">
        <f>IF(FourNoSpecialPayment1,IF(F228&gt;F226,-(F228-F226),MIN(F226-F228,F223-F227)),E204+E206+E208)</f>
        <v>0</v>
      </c>
      <c r="G229" s="202"/>
      <c r="H229" s="202"/>
      <c r="I229" s="202"/>
      <c r="J229" s="202"/>
      <c r="K229" s="202"/>
      <c r="L229" s="202"/>
      <c r="M229" s="202"/>
    </row>
    <row r="230" spans="1:13" x14ac:dyDescent="0.35">
      <c r="A230" s="207" t="str">
        <f>"                   (8) " &amp;year-1&amp; " Payments to Contingency Reserve Fund"</f>
        <v xml:space="preserve">                   (8) 2020 Payments to Contingency Reserve Fund</v>
      </c>
      <c r="B230" s="202"/>
      <c r="C230" s="202"/>
      <c r="D230" s="202"/>
      <c r="E230" s="202"/>
      <c r="F230" s="208">
        <f>F40*(0.04-OPMadmin)</f>
        <v>0</v>
      </c>
      <c r="G230" s="202"/>
      <c r="H230" s="202"/>
      <c r="I230" s="202"/>
      <c r="J230" s="202"/>
      <c r="K230" s="202"/>
      <c r="L230" s="202"/>
      <c r="M230" s="202"/>
    </row>
    <row r="231" spans="1:13" x14ac:dyDescent="0.35">
      <c r="A231" s="207" t="str">
        <f>"                   (9) " &amp;year-1&amp; " Interest on Contingency Reserve Fund"</f>
        <v xml:space="preserve">                   (9) 2020 Interest on Contingency Reserve Fund</v>
      </c>
      <c r="B231" s="202"/>
      <c r="C231" s="202"/>
      <c r="D231" s="202"/>
      <c r="E231" s="202"/>
      <c r="F231" s="208">
        <f>IF(FourNoSpecialPayment1,Yr1CR*(F223+0.5*F230-0.25*F229),Yr1CR*(F223+0.5*F230-(((12.5-T1)/12)*E204+((12.5-T2)/12)*E206+((12.5-T3)/12)*E208)))</f>
        <v>0</v>
      </c>
      <c r="G231" s="208"/>
      <c r="H231" s="202"/>
      <c r="I231" s="202"/>
      <c r="J231" s="202"/>
      <c r="K231" s="202"/>
      <c r="L231" s="202"/>
      <c r="M231" s="202"/>
    </row>
    <row r="232" spans="1:13" x14ac:dyDescent="0.35">
      <c r="A232" s="32" t="str">
        <f>"                 (10) 12/31/" &amp;year-1&amp; " Contingency Reserve Balance"</f>
        <v xml:space="preserve">                 (10) 12/31/2020 Contingency Reserve Balance</v>
      </c>
      <c r="F232" s="212">
        <f>F223+F230+F231-F229</f>
        <v>0</v>
      </c>
      <c r="G232" s="55"/>
    </row>
    <row r="233" spans="1:13" x14ac:dyDescent="0.35">
      <c r="A233" s="32"/>
    </row>
    <row r="234" spans="1:13" x14ac:dyDescent="0.35">
      <c r="A234" s="32" t="str">
        <f>"          (b) Estimated Interest Plus Investment Income "</f>
        <v xml:space="preserve">          (b) Estimated Interest Plus Investment Income </v>
      </c>
    </row>
    <row r="235" spans="1:13" x14ac:dyDescent="0.35">
      <c r="A235" s="32" t="str">
        <f>"                   (1) Accrued Claims Reserve + Accrued Exp Reserve + Special Reserve 12/31/"&amp;year-2</f>
        <v xml:space="preserve">                   (1) Accrued Claims Reserve + Accrued Exp Reserve + Special Reserve 12/31/2019</v>
      </c>
      <c r="F235" s="55">
        <f>F228</f>
        <v>0</v>
      </c>
    </row>
    <row r="236" spans="1:13" x14ac:dyDescent="0.35">
      <c r="A236" s="32" t="str">
        <f>"                   (2) Premium Income Accrued but Unpaid 12/31/" &amp;year-2</f>
        <v xml:space="preserve">                   (2) Premium Income Accrued but Unpaid 12/31/2019</v>
      </c>
      <c r="F236" s="55">
        <f>I14</f>
        <v>0</v>
      </c>
    </row>
    <row r="237" spans="1:13" x14ac:dyDescent="0.35">
      <c r="A237" s="207" t="str">
        <f>"                   (3) " &amp;year-1&amp; " Contingency Reserve Payment to LOCA/(LOCA Payment to CR)"</f>
        <v xml:space="preserve">                   (3) 2020 Contingency Reserve Payment to LOCA/(LOCA Payment to CR)</v>
      </c>
      <c r="F237" s="55">
        <f>F229</f>
        <v>0</v>
      </c>
    </row>
    <row r="238" spans="1:13" x14ac:dyDescent="0.35">
      <c r="A238" s="32" t="str">
        <f>"                   (4) " &amp;year-1&amp; " Total Premium Income"</f>
        <v xml:space="preserve">                   (4) 2020 Total Premium Income</v>
      </c>
      <c r="F238" s="56">
        <f>G40</f>
        <v>0</v>
      </c>
    </row>
    <row r="239" spans="1:13" x14ac:dyDescent="0.35">
      <c r="A239" s="32" t="str">
        <f>"                   (5) " &amp;year-1&amp; " Estimated Paid Claims"</f>
        <v xml:space="preserve">                   (5) 2020 Estimated Paid Claims</v>
      </c>
      <c r="F239" s="55" t="e">
        <f>G80*G157+(1-G80)*G156</f>
        <v>#DIV/0!</v>
      </c>
    </row>
    <row r="240" spans="1:13" x14ac:dyDescent="0.35">
      <c r="A240" s="32" t="str">
        <f>"                   (6) " &amp;year-1&amp; " Paid Expenses"</f>
        <v xml:space="preserve">                   (6) 2020 Paid Expenses</v>
      </c>
      <c r="F240" s="55">
        <f>C179+E179</f>
        <v>0</v>
      </c>
    </row>
    <row r="241" spans="1:18" x14ac:dyDescent="0.35">
      <c r="A241" s="207" t="str">
        <f>"                   (7) " &amp;year-1&amp; " Average Investment Balance"</f>
        <v xml:space="preserve">                   (7) 2020 Average Investment Balance</v>
      </c>
      <c r="B241" s="202"/>
      <c r="C241" s="202"/>
      <c r="D241" s="202"/>
      <c r="E241" s="202"/>
      <c r="F241" s="212" t="e">
        <f>IF(FourNoSpecialPayment1,F235-F236+0.25*F237+0.5*(F238-F239-F240),F235-F236+0.5*(F238-F239-F240)+(((12.5-T1)/12)*E204+((12.5-T2)/12)*E206+((12.5-T3)/12)*E208))</f>
        <v>#DIV/0!</v>
      </c>
      <c r="G241" s="202"/>
      <c r="H241" s="202"/>
      <c r="I241" s="202"/>
      <c r="J241" s="202"/>
      <c r="K241" s="202"/>
      <c r="L241" s="202"/>
      <c r="M241" s="202"/>
    </row>
    <row r="242" spans="1:18" x14ac:dyDescent="0.35">
      <c r="A242" s="32" t="str">
        <f>"                   (8) " &amp;year-1&amp; " Estimated Interest Plus Investment Income"</f>
        <v xml:space="preserve">                   (8) 2020 Estimated Interest Plus Investment Income</v>
      </c>
      <c r="F242" s="56" t="e">
        <f>Yr1LOC*F241</f>
        <v>#DIV/0!</v>
      </c>
    </row>
    <row r="243" spans="1:18" x14ac:dyDescent="0.35">
      <c r="A243" s="32"/>
    </row>
    <row r="244" spans="1:18" x14ac:dyDescent="0.35">
      <c r="A244" s="32" t="str">
        <f>"          (c) Special Reserve - " &amp;year-1</f>
        <v xml:space="preserve">          (c) Special Reserve - 2020</v>
      </c>
    </row>
    <row r="245" spans="1:18" x14ac:dyDescent="0.35">
      <c r="A245" s="32" t="str">
        <f>"                   (1) Income"</f>
        <v xml:space="preserve">                   (1) Income</v>
      </c>
    </row>
    <row r="246" spans="1:18" x14ac:dyDescent="0.35">
      <c r="A246" s="32" t="str">
        <f>"                           (a) Premium Income"</f>
        <v xml:space="preserve">                           (a) Premium Income</v>
      </c>
      <c r="F246" s="56">
        <f>F238</f>
        <v>0</v>
      </c>
    </row>
    <row r="247" spans="1:18" x14ac:dyDescent="0.35">
      <c r="A247" s="207" t="str">
        <f>"                           (b) Contingency Reserve Payment to LOCA/(LOCA Payment to CR)"</f>
        <v xml:space="preserve">                           (b) Contingency Reserve Payment to LOCA/(LOCA Payment to CR)</v>
      </c>
      <c r="F247" s="55">
        <f>F229</f>
        <v>0</v>
      </c>
    </row>
    <row r="248" spans="1:18" x14ac:dyDescent="0.35">
      <c r="A248" s="32" t="str">
        <f>"                           (c) Estimated Interest + Investment Income"</f>
        <v xml:space="preserve">                           (c) Estimated Interest + Investment Income</v>
      </c>
      <c r="F248" s="55" t="e">
        <f>F242</f>
        <v>#DIV/0!</v>
      </c>
    </row>
    <row r="249" spans="1:18" x14ac:dyDescent="0.35">
      <c r="A249" s="32" t="str">
        <f>"                           (d) Total"</f>
        <v xml:space="preserve">                           (d) Total</v>
      </c>
      <c r="F249" s="56" t="e">
        <f>SUM(F246:F248)</f>
        <v>#DIV/0!</v>
      </c>
      <c r="R249" s="202"/>
    </row>
    <row r="250" spans="1:18" s="202" customFormat="1" x14ac:dyDescent="0.35">
      <c r="A250" s="32" t="str">
        <f>"                   (2) Outgo"</f>
        <v xml:space="preserve">                   (2) Outgo</v>
      </c>
      <c r="B250" s="54"/>
      <c r="C250" s="54"/>
      <c r="D250" s="54"/>
      <c r="E250" s="54"/>
      <c r="F250" s="54"/>
      <c r="G250" s="54"/>
      <c r="H250" s="54"/>
      <c r="I250" s="54"/>
      <c r="J250" s="54"/>
      <c r="K250" s="54"/>
      <c r="L250" s="54"/>
      <c r="M250" s="54"/>
    </row>
    <row r="251" spans="1:18" s="202" customFormat="1" x14ac:dyDescent="0.35">
      <c r="A251" s="32" t="str">
        <f>"                           (a) Incurred Claims"</f>
        <v xml:space="preserve">                           (a) Incurred Claims</v>
      </c>
      <c r="B251" s="54"/>
      <c r="C251" s="54"/>
      <c r="D251" s="54"/>
      <c r="E251" s="54"/>
      <c r="F251" s="55" t="e">
        <f>G157</f>
        <v>#DIV/0!</v>
      </c>
      <c r="G251" s="54"/>
      <c r="H251" s="54"/>
      <c r="I251" s="54"/>
      <c r="J251" s="54"/>
      <c r="K251" s="54"/>
      <c r="L251" s="54"/>
      <c r="M251" s="54"/>
    </row>
    <row r="252" spans="1:18" s="202" customFormat="1" x14ac:dyDescent="0.35">
      <c r="A252" s="32" t="str">
        <f>"                           (b) Incurred Expenses"</f>
        <v xml:space="preserve">                           (b) Incurred Expenses</v>
      </c>
      <c r="B252" s="54"/>
      <c r="C252" s="54"/>
      <c r="D252" s="54"/>
      <c r="E252" s="54"/>
      <c r="F252" s="55" t="e">
        <f>C186+E179</f>
        <v>#DIV/0!</v>
      </c>
      <c r="G252" s="54"/>
      <c r="H252" s="54"/>
      <c r="I252" s="54"/>
      <c r="J252" s="54"/>
      <c r="K252" s="54"/>
      <c r="L252" s="54"/>
      <c r="M252" s="54"/>
      <c r="R252" s="54"/>
    </row>
    <row r="253" spans="1:18" x14ac:dyDescent="0.35">
      <c r="A253" s="32" t="str">
        <f>"                           (c) Total"</f>
        <v xml:space="preserve">                           (c) Total</v>
      </c>
      <c r="F253" s="55" t="e">
        <f>SUM(F251:F252)</f>
        <v>#DIV/0!</v>
      </c>
    </row>
    <row r="254" spans="1:18" x14ac:dyDescent="0.35">
      <c r="A254" s="32" t="str">
        <f>"                   (3) Gain(Loss)"</f>
        <v xml:space="preserve">                   (3) Gain(Loss)</v>
      </c>
      <c r="F254" s="55" t="e">
        <f>F249-F253</f>
        <v>#DIV/0!</v>
      </c>
    </row>
    <row r="255" spans="1:18" x14ac:dyDescent="0.35">
      <c r="A255" s="32" t="str">
        <f>"                   (4) Reserves"</f>
        <v xml:space="preserve">                   (4) Reserves</v>
      </c>
    </row>
    <row r="256" spans="1:18" x14ac:dyDescent="0.35">
      <c r="A256" s="32" t="str">
        <f>"                           (a) Beginning Special"</f>
        <v xml:space="preserve">                           (a) Beginning Special</v>
      </c>
      <c r="F256" s="55">
        <f>F167</f>
        <v>0</v>
      </c>
    </row>
    <row r="257" spans="1:18" x14ac:dyDescent="0.35">
      <c r="A257" s="32" t="str">
        <f>"                           (b) Ending Special"</f>
        <v xml:space="preserve">                           (b) Ending Special</v>
      </c>
      <c r="F257" s="55" t="e">
        <f>F256+F254</f>
        <v>#DIV/0!</v>
      </c>
      <c r="G257" s="57"/>
    </row>
    <row r="258" spans="1:18" x14ac:dyDescent="0.35">
      <c r="A258" s="32"/>
    </row>
    <row r="259" spans="1:18" x14ac:dyDescent="0.35">
      <c r="A259" s="32" t="str">
        <f>"16. " &amp;year&amp; " Contingency Payment, Int. &amp; Inv. Income, and Reserve Calculation"</f>
        <v>16. 2021 Contingency Payment, Int. &amp; Inv. Income, and Reserve Calculation</v>
      </c>
    </row>
    <row r="260" spans="1:18" x14ac:dyDescent="0.35">
      <c r="A260" s="32"/>
    </row>
    <row r="261" spans="1:18" x14ac:dyDescent="0.35">
      <c r="A261" s="32" t="str">
        <f>"          (a) Contingency Reserve "</f>
        <v xml:space="preserve">          (a) Contingency Reserve </v>
      </c>
      <c r="R261" s="202"/>
    </row>
    <row r="262" spans="1:18" s="202" customFormat="1" x14ac:dyDescent="0.35">
      <c r="A262" s="32" t="str">
        <f>"                   (1) Contingency Reserve Balance on 12/31/" &amp;year-1</f>
        <v xml:space="preserve">                   (1) Contingency Reserve Balance on 12/31/2020</v>
      </c>
      <c r="B262" s="54"/>
      <c r="C262" s="54"/>
      <c r="D262" s="54"/>
      <c r="E262" s="54"/>
      <c r="F262" s="212">
        <f>F232</f>
        <v>0</v>
      </c>
      <c r="G262" s="54"/>
      <c r="H262" s="54"/>
      <c r="I262" s="54"/>
      <c r="J262" s="54"/>
      <c r="K262" s="54"/>
      <c r="L262" s="54"/>
      <c r="M262" s="54"/>
      <c r="R262" s="54"/>
    </row>
    <row r="263" spans="1:18" x14ac:dyDescent="0.35">
      <c r="A263" s="32" t="str">
        <f>"                   (2) Claims Paid During the Last 6 Months of " &amp;year-1</f>
        <v xml:space="preserve">                   (2) Claims Paid During the Last 6 Months of 2020</v>
      </c>
      <c r="F263" s="212" t="e">
        <f>F224*(G157/G156)</f>
        <v>#DIV/0!</v>
      </c>
    </row>
    <row r="264" spans="1:18" x14ac:dyDescent="0.35">
      <c r="A264" s="32" t="str">
        <f>"                   (3) Paid Expenses for " &amp;year-1</f>
        <v xml:space="preserve">                   (3) Paid Expenses for 2020</v>
      </c>
      <c r="F264" s="212">
        <f>C179+E179</f>
        <v>0</v>
      </c>
    </row>
    <row r="265" spans="1:18" x14ac:dyDescent="0.35">
      <c r="A265" s="32" t="str">
        <f>"                   (4) Three and One-Half Months of Paid Outgo"</f>
        <v xml:space="preserve">                   (4) Three and One-Half Months of Paid Outgo</v>
      </c>
      <c r="F265" s="212" t="e">
        <f>(7/12)*F263 + (7/24)*F264</f>
        <v>#DIV/0!</v>
      </c>
    </row>
    <row r="266" spans="1:18" x14ac:dyDescent="0.35">
      <c r="A266" s="32" t="str">
        <f>"                   (5) Preferred Minimum Balance"</f>
        <v xml:space="preserve">                   (5) Preferred Minimum Balance</v>
      </c>
      <c r="F266" s="212" t="e">
        <f>(3/7)*F265</f>
        <v>#DIV/0!</v>
      </c>
    </row>
    <row r="267" spans="1:18" x14ac:dyDescent="0.35">
      <c r="A267" s="32" t="str">
        <f>"                   (6) Accrued Claims Reserve + Accrued Exp Reserve + Special Reserve 12/31/"&amp;year-1</f>
        <v xml:space="preserve">                   (6) Accrued Claims Reserve + Accrued Exp Reserve + Special Reserve 12/31/2020</v>
      </c>
      <c r="F267" s="212" t="e">
        <f>F171+E186+F257</f>
        <v>#DIV/0!</v>
      </c>
    </row>
    <row r="268" spans="1:18" x14ac:dyDescent="0.35">
      <c r="A268" s="32" t="str">
        <f>"                   (7) " &amp;year&amp; " Contingency Reserve Payment to LOCA/(LOCA Payment to CR)"</f>
        <v xml:space="preserve">                   (7) 2021 Contingency Reserve Payment to LOCA/(LOCA Payment to CR)</v>
      </c>
      <c r="B268" s="202"/>
      <c r="C268" s="202"/>
      <c r="D268" s="202"/>
      <c r="E268" s="202"/>
      <c r="F268" s="212" t="e">
        <f>IF(FourNoSpecialPayment2,IF(F267&gt;F265,-(F267-F265),MIN(F265-F267,F262-F266)),E210+E212+E214)</f>
        <v>#DIV/0!</v>
      </c>
      <c r="G268" s="202"/>
      <c r="H268" s="202"/>
      <c r="I268" s="202"/>
      <c r="J268" s="202"/>
      <c r="K268" s="202"/>
      <c r="L268" s="202"/>
      <c r="M268" s="202"/>
    </row>
    <row r="269" spans="1:18" x14ac:dyDescent="0.35">
      <c r="A269" s="207" t="str">
        <f>"                   (8) " &amp;year&amp; " Payments to Contingency Reserve Fund"</f>
        <v xml:space="preserve">                   (8) 2021 Payments to Contingency Reserve Fund</v>
      </c>
      <c r="B269" s="202"/>
      <c r="C269" s="202"/>
      <c r="D269" s="202"/>
      <c r="E269" s="202"/>
      <c r="F269" s="212">
        <f>F45*(0.04-OPMadmin)</f>
        <v>0</v>
      </c>
      <c r="G269" s="202"/>
      <c r="H269" s="202"/>
      <c r="I269" s="202"/>
      <c r="J269" s="202"/>
      <c r="K269" s="202"/>
      <c r="L269" s="202"/>
      <c r="M269" s="202"/>
    </row>
    <row r="270" spans="1:18" x14ac:dyDescent="0.35">
      <c r="A270" s="207" t="str">
        <f>"                   (9) " &amp;year&amp; " Interest on Contingency Reserve Fund"</f>
        <v xml:space="preserve">                   (9) 2021 Interest on Contingency Reserve Fund</v>
      </c>
      <c r="B270" s="202"/>
      <c r="C270" s="202"/>
      <c r="D270" s="202"/>
      <c r="E270" s="202"/>
      <c r="F270" s="212" t="e">
        <f>IF(FourNoSpecialPayment2,Yr2CR*(F262+0.5*F269-0.25*F268),Yr2CR*(F262+0.5*F269-(((12.5-T4)/12)*E210+((12.5-T5)/12)*E212+((12.5-T6)/12)*E214)))</f>
        <v>#DIV/0!</v>
      </c>
      <c r="G270" s="202"/>
      <c r="H270" s="202"/>
      <c r="I270" s="202"/>
      <c r="J270" s="202"/>
      <c r="K270" s="202"/>
      <c r="L270" s="202"/>
      <c r="M270" s="202"/>
    </row>
    <row r="271" spans="1:18" x14ac:dyDescent="0.35">
      <c r="A271" s="32" t="str">
        <f>"                 (10) 12/31/" &amp;year&amp; " Contingency Reserve Balance"</f>
        <v xml:space="preserve">                 (10) 12/31/2021 Contingency Reserve Balance</v>
      </c>
      <c r="B271" s="202"/>
      <c r="C271" s="202"/>
      <c r="D271" s="202"/>
      <c r="E271" s="202"/>
      <c r="F271" s="212" t="e">
        <f>F262+F269+F270-F268</f>
        <v>#DIV/0!</v>
      </c>
      <c r="G271" s="202"/>
      <c r="H271" s="202"/>
      <c r="I271" s="202"/>
      <c r="J271" s="202"/>
      <c r="K271" s="202"/>
      <c r="L271" s="202"/>
      <c r="M271" s="202"/>
    </row>
    <row r="272" spans="1:18" x14ac:dyDescent="0.35">
      <c r="A272" s="32"/>
      <c r="B272" s="202"/>
      <c r="C272" s="202"/>
      <c r="D272" s="202"/>
      <c r="E272" s="202"/>
      <c r="F272" s="202"/>
      <c r="G272" s="202"/>
      <c r="H272" s="202"/>
      <c r="I272" s="202"/>
      <c r="J272" s="202"/>
      <c r="K272" s="202"/>
      <c r="L272" s="202"/>
      <c r="M272" s="202"/>
    </row>
    <row r="273" spans="1:18" x14ac:dyDescent="0.35">
      <c r="A273" s="32" t="str">
        <f>"          (b) Estimated Interest Plus Investment Income "</f>
        <v xml:space="preserve">          (b) Estimated Interest Plus Investment Income </v>
      </c>
      <c r="B273" s="202"/>
      <c r="C273" s="202"/>
      <c r="D273" s="202"/>
      <c r="E273" s="202"/>
      <c r="F273" s="202"/>
      <c r="G273" s="202"/>
      <c r="H273" s="202"/>
      <c r="I273" s="202"/>
      <c r="J273" s="202"/>
      <c r="K273" s="202"/>
      <c r="L273" s="202"/>
      <c r="M273" s="202"/>
    </row>
    <row r="274" spans="1:18" x14ac:dyDescent="0.35">
      <c r="A274" s="32" t="str">
        <f>"                   (1) Accrued Claims Reserve + Accrued Exp Reserve + Special Reserve 12/31/"&amp;year-1</f>
        <v xml:space="preserve">                   (1) Accrued Claims Reserve + Accrued Exp Reserve + Special Reserve 12/31/2020</v>
      </c>
      <c r="B274" s="202"/>
      <c r="C274" s="202"/>
      <c r="D274" s="202"/>
      <c r="E274" s="202"/>
      <c r="F274" s="212" t="e">
        <f>F267</f>
        <v>#DIV/0!</v>
      </c>
      <c r="G274" s="202"/>
      <c r="H274" s="202"/>
      <c r="I274" s="202"/>
      <c r="J274" s="202"/>
      <c r="K274" s="202"/>
      <c r="L274" s="202"/>
      <c r="M274" s="202"/>
    </row>
    <row r="275" spans="1:18" x14ac:dyDescent="0.35">
      <c r="A275" s="32" t="str">
        <f>"                   (2) Premium Income Accrued but Unpaid 12/31/" &amp;year-1</f>
        <v xml:space="preserve">                   (2) Premium Income Accrued but Unpaid 12/31/2020</v>
      </c>
      <c r="B275" s="202"/>
      <c r="C275" s="202"/>
      <c r="D275" s="202"/>
      <c r="E275" s="202"/>
      <c r="F275" s="212" t="e">
        <f>F236*(G40/G35)</f>
        <v>#DIV/0!</v>
      </c>
      <c r="G275" s="202"/>
      <c r="H275" s="202"/>
      <c r="I275" s="202"/>
      <c r="J275" s="202"/>
      <c r="K275" s="202"/>
      <c r="L275" s="202"/>
      <c r="M275" s="202"/>
    </row>
    <row r="276" spans="1:18" x14ac:dyDescent="0.35">
      <c r="A276" s="207" t="str">
        <f>"                   (3) " &amp;year&amp; " Contingency Reserve Payment to LOCA/(LOCA Payment to CR)"</f>
        <v xml:space="preserve">                   (3) 2021 Contingency Reserve Payment to LOCA/(LOCA Payment to CR)</v>
      </c>
      <c r="B276" s="202"/>
      <c r="C276" s="202"/>
      <c r="D276" s="202"/>
      <c r="E276" s="202"/>
      <c r="F276" s="212" t="e">
        <f>F268</f>
        <v>#DIV/0!</v>
      </c>
      <c r="G276" s="202"/>
      <c r="H276" s="202"/>
      <c r="I276" s="202"/>
      <c r="J276" s="202"/>
      <c r="K276" s="202"/>
      <c r="L276" s="202"/>
      <c r="M276" s="202"/>
    </row>
    <row r="277" spans="1:18" x14ac:dyDescent="0.35">
      <c r="A277" s="32" t="str">
        <f>"                   (4) " &amp;year&amp; " Total Premium Income"</f>
        <v xml:space="preserve">                   (4) 2021 Total Premium Income</v>
      </c>
      <c r="B277" s="202"/>
      <c r="C277" s="202"/>
      <c r="D277" s="202"/>
      <c r="E277" s="202"/>
      <c r="F277" s="212">
        <f>F45</f>
        <v>0</v>
      </c>
      <c r="G277" s="202"/>
      <c r="H277" s="202"/>
      <c r="I277" s="202"/>
      <c r="J277" s="202"/>
      <c r="K277" s="202"/>
      <c r="L277" s="202"/>
      <c r="M277" s="202"/>
    </row>
    <row r="278" spans="1:18" x14ac:dyDescent="0.35">
      <c r="A278" s="32" t="str">
        <f>"                   (5) " &amp;year&amp; " Estimated Paid Claims"</f>
        <v xml:space="preserve">                   (5) 2021 Estimated Paid Claims</v>
      </c>
      <c r="B278" s="202"/>
      <c r="C278" s="202"/>
      <c r="D278" s="202"/>
      <c r="E278" s="202"/>
      <c r="F278" s="212" t="e">
        <f>(G80*G158)+((1-G80)*G157)</f>
        <v>#DIV/0!</v>
      </c>
      <c r="G278" s="202"/>
      <c r="H278" s="202"/>
      <c r="I278" s="202"/>
      <c r="J278" s="202"/>
      <c r="K278" s="202"/>
      <c r="L278" s="202"/>
      <c r="M278" s="202"/>
    </row>
    <row r="279" spans="1:18" x14ac:dyDescent="0.35">
      <c r="A279" s="32" t="str">
        <f>"                   (6) " &amp;year&amp; " Paid Expenses"</f>
        <v xml:space="preserve">                   (6) 2021 Paid Expenses</v>
      </c>
      <c r="B279" s="202"/>
      <c r="C279" s="202"/>
      <c r="D279" s="202"/>
      <c r="E279" s="202"/>
      <c r="F279" s="212">
        <f>C180+E180</f>
        <v>0</v>
      </c>
      <c r="G279" s="202"/>
      <c r="H279" s="202"/>
      <c r="I279" s="202"/>
      <c r="J279" s="202"/>
      <c r="K279" s="202"/>
      <c r="L279" s="202"/>
      <c r="M279" s="202"/>
    </row>
    <row r="280" spans="1:18" x14ac:dyDescent="0.35">
      <c r="A280" s="207" t="str">
        <f>"                   (7) " &amp;year&amp; " Average Investment Balance"</f>
        <v xml:space="preserve">                   (7) 2021 Average Investment Balance</v>
      </c>
      <c r="B280" s="202"/>
      <c r="C280" s="202"/>
      <c r="D280" s="202"/>
      <c r="E280" s="202"/>
      <c r="F280" s="212" t="e">
        <f>IF(FourNoSpecialPayment2,F274-F275+0.25*F276+0.5*(F277-F278-F279),F274-F275+0.5*(F277-F278-F279)+(((12.5-T4)/12)*E210+((12.5-T5)/12)*E212+((12.5-T6)/12)*E214))</f>
        <v>#DIV/0!</v>
      </c>
      <c r="G280" s="202"/>
      <c r="H280" s="202"/>
      <c r="I280" s="202"/>
      <c r="J280" s="202"/>
      <c r="K280" s="202"/>
      <c r="L280" s="202"/>
      <c r="M280" s="202"/>
    </row>
    <row r="281" spans="1:18" x14ac:dyDescent="0.35">
      <c r="A281" s="32" t="str">
        <f>"                   (8) " &amp;year&amp; " Estimated Interest Plus Investment Income"</f>
        <v xml:space="preserve">                   (8) 2021 Estimated Interest Plus Investment Income</v>
      </c>
      <c r="B281" s="202"/>
      <c r="C281" s="202"/>
      <c r="D281" s="202"/>
      <c r="E281" s="202"/>
      <c r="F281" s="208" t="e">
        <f>Yr2LOC*F280</f>
        <v>#DIV/0!</v>
      </c>
      <c r="G281" s="202"/>
      <c r="H281" s="202"/>
      <c r="I281" s="202"/>
      <c r="J281" s="202"/>
      <c r="K281" s="202"/>
      <c r="L281" s="202"/>
      <c r="M281" s="202"/>
    </row>
    <row r="288" spans="1:18" x14ac:dyDescent="0.35">
      <c r="R288" s="202"/>
    </row>
    <row r="289" spans="1:18" s="202" customFormat="1" x14ac:dyDescent="0.35">
      <c r="A289" s="54"/>
      <c r="B289" s="54"/>
      <c r="C289" s="54"/>
      <c r="D289" s="54"/>
      <c r="E289" s="54"/>
      <c r="F289" s="54"/>
      <c r="G289" s="54"/>
      <c r="H289" s="54"/>
      <c r="I289" s="54"/>
      <c r="J289" s="54"/>
      <c r="K289" s="54"/>
      <c r="L289" s="54"/>
      <c r="M289" s="54"/>
    </row>
    <row r="290" spans="1:18" s="202" customFormat="1" x14ac:dyDescent="0.35">
      <c r="A290" s="54"/>
      <c r="B290" s="54"/>
      <c r="C290" s="54"/>
      <c r="D290" s="54"/>
      <c r="E290" s="54"/>
      <c r="F290" s="54"/>
      <c r="G290" s="54"/>
      <c r="H290" s="54"/>
      <c r="I290" s="54"/>
      <c r="J290" s="54"/>
      <c r="K290" s="54"/>
      <c r="L290" s="54"/>
      <c r="M290" s="54"/>
    </row>
    <row r="291" spans="1:18" s="202" customFormat="1" x14ac:dyDescent="0.35">
      <c r="A291" s="54"/>
      <c r="B291" s="54"/>
      <c r="C291" s="54"/>
      <c r="D291" s="54"/>
      <c r="E291" s="54"/>
      <c r="F291" s="54"/>
      <c r="G291" s="54"/>
      <c r="H291" s="54"/>
      <c r="I291" s="54"/>
      <c r="J291" s="54"/>
      <c r="K291" s="54"/>
      <c r="L291" s="54"/>
      <c r="M291" s="54"/>
    </row>
    <row r="292" spans="1:18" s="202" customFormat="1" x14ac:dyDescent="0.35">
      <c r="A292" s="54"/>
      <c r="B292" s="54"/>
      <c r="C292" s="54"/>
      <c r="D292" s="54"/>
      <c r="E292" s="54"/>
      <c r="F292" s="54"/>
      <c r="G292" s="54"/>
      <c r="H292" s="54"/>
      <c r="I292" s="54"/>
      <c r="J292" s="54"/>
      <c r="K292" s="54"/>
      <c r="L292" s="54"/>
      <c r="M292" s="54"/>
    </row>
    <row r="293" spans="1:18" s="202" customFormat="1" x14ac:dyDescent="0.35">
      <c r="A293" s="54"/>
      <c r="B293" s="54"/>
      <c r="C293" s="54"/>
      <c r="D293" s="54"/>
      <c r="E293" s="54"/>
      <c r="F293" s="54"/>
      <c r="G293" s="54"/>
      <c r="H293" s="54"/>
      <c r="I293" s="54"/>
      <c r="J293" s="54"/>
      <c r="K293" s="54"/>
      <c r="L293" s="54"/>
      <c r="M293" s="54"/>
    </row>
    <row r="294" spans="1:18" s="202" customFormat="1" x14ac:dyDescent="0.35">
      <c r="A294" s="54"/>
      <c r="B294" s="54"/>
      <c r="C294" s="54"/>
      <c r="D294" s="54"/>
      <c r="E294" s="54"/>
      <c r="F294" s="54"/>
      <c r="G294" s="54"/>
      <c r="H294" s="54"/>
      <c r="I294" s="54"/>
      <c r="J294" s="54"/>
      <c r="K294" s="54"/>
      <c r="L294" s="54"/>
      <c r="M294" s="54"/>
    </row>
    <row r="295" spans="1:18" s="202" customFormat="1" x14ac:dyDescent="0.35">
      <c r="A295" s="54"/>
      <c r="B295" s="54"/>
      <c r="C295" s="54"/>
      <c r="D295" s="54"/>
      <c r="E295" s="54"/>
      <c r="F295" s="54"/>
      <c r="G295" s="54"/>
      <c r="H295" s="54"/>
      <c r="I295" s="54"/>
      <c r="J295" s="54"/>
      <c r="K295" s="54"/>
      <c r="L295" s="54"/>
      <c r="M295" s="54"/>
    </row>
    <row r="296" spans="1:18" s="202" customFormat="1" x14ac:dyDescent="0.35">
      <c r="A296" s="54"/>
      <c r="B296" s="54"/>
      <c r="C296" s="54"/>
      <c r="D296" s="54"/>
      <c r="E296" s="54"/>
      <c r="F296" s="54"/>
      <c r="G296" s="54"/>
      <c r="H296" s="54"/>
      <c r="I296" s="54"/>
      <c r="J296" s="54"/>
      <c r="K296" s="54"/>
      <c r="L296" s="54"/>
      <c r="M296" s="54"/>
    </row>
    <row r="297" spans="1:18" s="202" customFormat="1" x14ac:dyDescent="0.35">
      <c r="A297" s="54"/>
      <c r="B297" s="54"/>
      <c r="C297" s="54"/>
      <c r="D297" s="54"/>
      <c r="E297" s="54"/>
      <c r="F297" s="54"/>
      <c r="G297" s="54"/>
      <c r="H297" s="54"/>
      <c r="I297" s="54"/>
      <c r="J297" s="54"/>
      <c r="K297" s="54"/>
      <c r="L297" s="54"/>
      <c r="M297" s="54"/>
    </row>
    <row r="298" spans="1:18" s="202" customFormat="1" x14ac:dyDescent="0.35">
      <c r="A298" s="54"/>
      <c r="B298" s="54"/>
      <c r="C298" s="54"/>
      <c r="D298" s="54"/>
      <c r="E298" s="54"/>
      <c r="F298" s="54"/>
      <c r="G298" s="54"/>
      <c r="H298" s="54"/>
      <c r="I298" s="54"/>
      <c r="J298" s="54"/>
      <c r="K298" s="54"/>
      <c r="L298" s="54"/>
      <c r="M298" s="54"/>
    </row>
    <row r="299" spans="1:18" s="202" customFormat="1" x14ac:dyDescent="0.35">
      <c r="A299" s="54"/>
      <c r="B299" s="54"/>
      <c r="C299" s="54"/>
      <c r="D299" s="54"/>
      <c r="E299" s="54"/>
      <c r="F299" s="54"/>
      <c r="G299" s="54"/>
      <c r="H299" s="54"/>
      <c r="I299" s="54"/>
      <c r="J299" s="54"/>
      <c r="K299" s="54"/>
      <c r="L299" s="54"/>
      <c r="M299" s="54"/>
    </row>
    <row r="300" spans="1:18" s="202" customFormat="1" x14ac:dyDescent="0.35">
      <c r="A300" s="54"/>
      <c r="B300" s="54"/>
      <c r="C300" s="54"/>
      <c r="D300" s="54"/>
      <c r="E300" s="54"/>
      <c r="F300" s="54"/>
      <c r="G300" s="54"/>
      <c r="H300" s="54"/>
      <c r="I300" s="54"/>
      <c r="J300" s="54"/>
      <c r="K300" s="54"/>
      <c r="L300" s="54"/>
      <c r="M300" s="54"/>
    </row>
    <row r="301" spans="1:18" s="202" customFormat="1" x14ac:dyDescent="0.35">
      <c r="A301" s="54"/>
      <c r="B301" s="54"/>
      <c r="C301" s="54"/>
      <c r="D301" s="54"/>
      <c r="E301" s="54"/>
      <c r="F301" s="54"/>
      <c r="G301" s="54"/>
      <c r="H301" s="54"/>
      <c r="I301" s="54"/>
      <c r="J301" s="54"/>
      <c r="K301" s="54"/>
      <c r="L301" s="54"/>
      <c r="M301" s="54"/>
    </row>
    <row r="302" spans="1:18" s="202" customFormat="1" x14ac:dyDescent="0.35">
      <c r="A302" s="54"/>
      <c r="B302" s="54"/>
      <c r="C302" s="54"/>
      <c r="D302" s="54"/>
      <c r="E302" s="54"/>
      <c r="F302" s="54"/>
      <c r="G302" s="54"/>
      <c r="H302" s="54"/>
      <c r="I302" s="54"/>
      <c r="J302" s="54"/>
      <c r="K302" s="54"/>
      <c r="L302" s="54"/>
      <c r="M302" s="54"/>
      <c r="R302" s="54"/>
    </row>
  </sheetData>
  <sheetProtection algorithmName="SHA-512" hashValue="o4olqR6v4BJxn9VGhCFxKCX4I8lp6v3/uxAZH+jtWSM0yy60Q9XQOznKD44YNvKfWkEhLhDbh+h/RuYA/b92Vg==" saltValue="elVEeCeB+jWGerx4/JhvCg==" spinCount="100000" sheet="1" objects="1" scenarios="1"/>
  <mergeCells count="41">
    <mergeCell ref="B153:F153"/>
    <mergeCell ref="B147:C147"/>
    <mergeCell ref="B148:C148"/>
    <mergeCell ref="B146:C146"/>
    <mergeCell ref="B138:C138"/>
    <mergeCell ref="B139:C139"/>
    <mergeCell ref="B140:C140"/>
    <mergeCell ref="E125:E126"/>
    <mergeCell ref="G125:G126"/>
    <mergeCell ref="B129:C129"/>
    <mergeCell ref="B128:C128"/>
    <mergeCell ref="B127:C127"/>
    <mergeCell ref="B59:G61"/>
    <mergeCell ref="A86:I86"/>
    <mergeCell ref="B114:D114"/>
    <mergeCell ref="E114:I114"/>
    <mergeCell ref="A88:I88"/>
    <mergeCell ref="A107:I107"/>
    <mergeCell ref="A110:I110"/>
    <mergeCell ref="A109:I109"/>
    <mergeCell ref="A108:I108"/>
    <mergeCell ref="A106:I106"/>
    <mergeCell ref="F97:G97"/>
    <mergeCell ref="A89:I89"/>
    <mergeCell ref="A87:I87"/>
    <mergeCell ref="A131:I131"/>
    <mergeCell ref="A132:I133"/>
    <mergeCell ref="A1:K1"/>
    <mergeCell ref="A2:K2"/>
    <mergeCell ref="F54:F55"/>
    <mergeCell ref="G54:G55"/>
    <mergeCell ref="I54:J60"/>
    <mergeCell ref="A54:A55"/>
    <mergeCell ref="B54:B55"/>
    <mergeCell ref="C54:C55"/>
    <mergeCell ref="D54:D55"/>
    <mergeCell ref="E54:E55"/>
    <mergeCell ref="D5:F5"/>
    <mergeCell ref="H5:J5"/>
    <mergeCell ref="F24:G24"/>
    <mergeCell ref="I24:J24"/>
  </mergeCells>
  <phoneticPr fontId="3" type="noConversion"/>
  <dataValidations count="3">
    <dataValidation type="list" allowBlank="1" showInputMessage="1" showErrorMessage="1" sqref="E205 E215 E213 E211 E209 E207" xr:uid="{00000000-0002-0000-0500-000000000000}">
      <formula1>$S$1:$S$13</formula1>
    </dataValidation>
    <dataValidation type="custom" allowBlank="1" showInputMessage="1" showErrorMessage="1" error="Accrued Income of Previous Year must be a positive value." sqref="E11:E12 I11:I12" xr:uid="{00000000-0002-0000-0500-000001000000}">
      <formula1>E11&gt;=0</formula1>
    </dataValidation>
    <dataValidation type="custom" allowBlank="1" showInputMessage="1" showErrorMessage="1" error="Return of Excess Reserves must be a positive value." sqref="I20" xr:uid="{00000000-0002-0000-0500-000002000000}">
      <formula1>I20&gt;=0</formula1>
    </dataValidation>
  </dataValidations>
  <pageMargins left="0.75" right="0.75" top="1" bottom="1" header="0.5" footer="0.5"/>
  <pageSetup scale="51" fitToHeight="11" orientation="portrait" r:id="rId1"/>
  <headerFooter alignWithMargins="0">
    <oddFooter>&amp;C&amp;P</oddFooter>
  </headerFooter>
  <rowBreaks count="3" manualBreakCount="3">
    <brk id="85" max="10" man="1"/>
    <brk id="149" max="10" man="1"/>
    <brk id="218" max="10" man="1"/>
  </rowBreaks>
  <ignoredErrors>
    <ignoredError sqref="G30 G35" formula="1"/>
    <ignoredError sqref="D10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'Proposal Questions'!$S$1:$S$2</xm:f>
          </x14:formula1>
          <xm:sqref>E48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indexed="29"/>
  </sheetPr>
  <dimension ref="A1:I77"/>
  <sheetViews>
    <sheetView zoomScaleNormal="100" workbookViewId="0">
      <selection sqref="A1:I1"/>
    </sheetView>
  </sheetViews>
  <sheetFormatPr defaultColWidth="9.1796875" defaultRowHeight="13" x14ac:dyDescent="0.3"/>
  <cols>
    <col min="1" max="6" width="9.1796875" style="6"/>
    <col min="7" max="9" width="20.7265625" style="6" customWidth="1"/>
    <col min="10" max="16384" width="9.1796875" style="6"/>
  </cols>
  <sheetData>
    <row r="1" spans="1:9" ht="18.5" x14ac:dyDescent="0.45">
      <c r="A1" s="479" t="s">
        <v>88</v>
      </c>
      <c r="B1" s="479"/>
      <c r="C1" s="479"/>
      <c r="D1" s="479"/>
      <c r="E1" s="479"/>
      <c r="F1" s="479"/>
      <c r="G1" s="479"/>
      <c r="H1" s="479"/>
      <c r="I1" s="479"/>
    </row>
    <row r="2" spans="1:9" ht="14.5" x14ac:dyDescent="0.35">
      <c r="A2" s="477">
        <f>Plan</f>
        <v>0</v>
      </c>
      <c r="B2" s="477"/>
      <c r="C2" s="477"/>
      <c r="D2" s="477"/>
      <c r="E2" s="477"/>
      <c r="F2" s="477"/>
      <c r="G2" s="477"/>
      <c r="H2" s="477"/>
      <c r="I2" s="477"/>
    </row>
    <row r="3" spans="1:9" ht="14.5" x14ac:dyDescent="0.35">
      <c r="A3" s="477" t="str">
        <f>IF(Option="1, 3, 2", Code&amp;"1, "&amp;Code&amp;"3, "&amp;Code&amp;"2", IF(Option="4, 6, 5", Code&amp;"4, "&amp;Code&amp;"6, "&amp;Code&amp;"5", ""))</f>
        <v/>
      </c>
      <c r="B3" s="477"/>
      <c r="C3" s="477"/>
      <c r="D3" s="477"/>
      <c r="E3" s="477"/>
      <c r="F3" s="477"/>
      <c r="G3" s="477"/>
      <c r="H3" s="477"/>
      <c r="I3" s="477"/>
    </row>
    <row r="4" spans="1:9" ht="15" thickBot="1" x14ac:dyDescent="0.4">
      <c r="A4" s="54"/>
      <c r="B4" s="54"/>
      <c r="C4" s="54"/>
      <c r="D4" s="54"/>
      <c r="E4" s="54"/>
      <c r="F4" s="54"/>
      <c r="G4" s="54"/>
      <c r="H4" s="54"/>
      <c r="I4" s="54"/>
    </row>
    <row r="5" spans="1:9" ht="15" thickBot="1" x14ac:dyDescent="0.4">
      <c r="A5" s="61"/>
      <c r="B5" s="62"/>
      <c r="C5" s="62"/>
      <c r="D5" s="62"/>
      <c r="E5" s="62"/>
      <c r="F5" s="63"/>
      <c r="G5" s="58">
        <f>year-2</f>
        <v>2019</v>
      </c>
      <c r="H5" s="58">
        <f>year-1</f>
        <v>2020</v>
      </c>
      <c r="I5" s="58">
        <f>year</f>
        <v>2021</v>
      </c>
    </row>
    <row r="6" spans="1:9" ht="14.5" x14ac:dyDescent="0.35">
      <c r="A6" s="64" t="s">
        <v>89</v>
      </c>
      <c r="B6" s="65"/>
      <c r="C6" s="65"/>
      <c r="D6" s="65"/>
      <c r="E6" s="65"/>
      <c r="F6" s="66"/>
      <c r="G6" s="123"/>
      <c r="H6" s="123"/>
      <c r="I6" s="123"/>
    </row>
    <row r="7" spans="1:9" ht="14.5" x14ac:dyDescent="0.35">
      <c r="A7" s="64" t="str">
        <f>"       1. Incurred Premium Income"</f>
        <v xml:space="preserve">       1. Incurred Premium Income</v>
      </c>
      <c r="B7" s="65"/>
      <c r="C7" s="65"/>
      <c r="D7" s="65"/>
      <c r="E7" s="65"/>
      <c r="F7" s="66"/>
      <c r="G7" s="122">
        <f>'Rate Proposal - 4 year'!G35</f>
        <v>0</v>
      </c>
      <c r="H7" s="122">
        <f>'Rate Proposal - 4 year'!F238</f>
        <v>0</v>
      </c>
      <c r="I7" s="122">
        <f>'Rate Proposal - 4 year'!F277</f>
        <v>0</v>
      </c>
    </row>
    <row r="8" spans="1:9" ht="14.5" x14ac:dyDescent="0.35">
      <c r="A8" s="64" t="str">
        <f>"       2. Contingency Reserve Payment"</f>
        <v xml:space="preserve">       2. Contingency Reserve Payment</v>
      </c>
      <c r="B8" s="65"/>
      <c r="C8" s="65"/>
      <c r="D8" s="65"/>
      <c r="E8" s="65"/>
      <c r="F8" s="66"/>
      <c r="G8" s="122">
        <f>'Rate Proposal - 4 year'!I18-'Rate Proposal - 4 year'!I20</f>
        <v>0</v>
      </c>
      <c r="H8" s="122">
        <f>'Rate Proposal - 4 year'!F229</f>
        <v>0</v>
      </c>
      <c r="I8" s="122" t="e">
        <f>'Rate Proposal - 4 year'!F268</f>
        <v>#DIV/0!</v>
      </c>
    </row>
    <row r="9" spans="1:9" ht="14.5" x14ac:dyDescent="0.35">
      <c r="A9" s="64" t="str">
        <f>"       3. Interest + Investment Income"</f>
        <v xml:space="preserve">       3. Interest + Investment Income</v>
      </c>
      <c r="B9" s="65"/>
      <c r="C9" s="65"/>
      <c r="D9" s="65"/>
      <c r="E9" s="65"/>
      <c r="F9" s="66"/>
      <c r="G9" s="122">
        <f>'Rate Proposal - 4 year'!I9+'Rate Proposal - 4 year'!I16+'Rate Proposal - 4 year'!I15-'Rate Proposal - 4 year'!I12</f>
        <v>0</v>
      </c>
      <c r="H9" s="122" t="e">
        <f>'Rate Proposal - 4 year'!F248</f>
        <v>#DIV/0!</v>
      </c>
      <c r="I9" s="122" t="e">
        <f>'Rate Proposal - 4 year'!F281</f>
        <v>#DIV/0!</v>
      </c>
    </row>
    <row r="10" spans="1:9" ht="14.5" x14ac:dyDescent="0.35">
      <c r="A10" s="64" t="str">
        <f>"       4. Total"</f>
        <v xml:space="preserve">       4. Total</v>
      </c>
      <c r="B10" s="65"/>
      <c r="C10" s="65"/>
      <c r="D10" s="65"/>
      <c r="E10" s="65"/>
      <c r="F10" s="66"/>
      <c r="G10" s="122">
        <f>SUM(G7:G9)</f>
        <v>0</v>
      </c>
      <c r="H10" s="122" t="e">
        <f>SUM(H7:H9)</f>
        <v>#DIV/0!</v>
      </c>
      <c r="I10" s="122" t="e">
        <f>SUM(I7:I9)</f>
        <v>#DIV/0!</v>
      </c>
    </row>
    <row r="11" spans="1:9" ht="14.5" x14ac:dyDescent="0.35">
      <c r="A11" s="64" t="s">
        <v>90</v>
      </c>
      <c r="B11" s="65"/>
      <c r="C11" s="65"/>
      <c r="D11" s="65"/>
      <c r="E11" s="65"/>
      <c r="F11" s="66"/>
      <c r="G11" s="123"/>
      <c r="H11" s="122"/>
      <c r="I11" s="123"/>
    </row>
    <row r="12" spans="1:9" ht="14.5" x14ac:dyDescent="0.35">
      <c r="A12" s="64" t="str">
        <f>"       1. Incurred Claims"</f>
        <v xml:space="preserve">       1. Incurred Claims</v>
      </c>
      <c r="B12" s="65"/>
      <c r="C12" s="65"/>
      <c r="D12" s="65"/>
      <c r="E12" s="65"/>
      <c r="F12" s="66"/>
      <c r="G12" s="122" t="e">
        <f>'Rate Proposal - 4 year'!G156</f>
        <v>#DIV/0!</v>
      </c>
      <c r="H12" s="122" t="e">
        <f>'Rate Proposal - 4 year'!F251</f>
        <v>#DIV/0!</v>
      </c>
      <c r="I12" s="122" t="e">
        <f>'Rate Proposal - 4 year'!G158</f>
        <v>#DIV/0!</v>
      </c>
    </row>
    <row r="13" spans="1:9" ht="14.5" x14ac:dyDescent="0.35">
      <c r="A13" s="64" t="str">
        <f>"       2. Incurred Expenses"</f>
        <v xml:space="preserve">       2. Incurred Expenses</v>
      </c>
      <c r="B13" s="65"/>
      <c r="C13" s="65"/>
      <c r="D13" s="65"/>
      <c r="E13" s="65"/>
      <c r="F13" s="66"/>
      <c r="G13" s="122" t="e">
        <f>'Rate Proposal - 4 year'!C185+'Rate Proposal - 4 year'!E178</f>
        <v>#DIV/0!</v>
      </c>
      <c r="H13" s="122" t="e">
        <f>'Rate Proposal - 4 year'!F252</f>
        <v>#DIV/0!</v>
      </c>
      <c r="I13" s="122" t="e">
        <f>'Rate Proposal - 4 year'!C187+'Rate Proposal - 4 year'!E180</f>
        <v>#DIV/0!</v>
      </c>
    </row>
    <row r="14" spans="1:9" ht="14.5" x14ac:dyDescent="0.35">
      <c r="A14" s="64" t="str">
        <f>"       3. Total"</f>
        <v xml:space="preserve">       3. Total</v>
      </c>
      <c r="B14" s="65"/>
      <c r="C14" s="65"/>
      <c r="D14" s="65"/>
      <c r="E14" s="65"/>
      <c r="F14" s="66"/>
      <c r="G14" s="122" t="e">
        <f>SUM(G12:G13)</f>
        <v>#DIV/0!</v>
      </c>
      <c r="H14" s="122" t="e">
        <f>SUM(H12:H13)</f>
        <v>#DIV/0!</v>
      </c>
      <c r="I14" s="122" t="e">
        <f>SUM(I12:I13)</f>
        <v>#DIV/0!</v>
      </c>
    </row>
    <row r="15" spans="1:9" ht="14.5" x14ac:dyDescent="0.35">
      <c r="A15" s="64" t="s">
        <v>91</v>
      </c>
      <c r="B15" s="65"/>
      <c r="C15" s="65"/>
      <c r="D15" s="65"/>
      <c r="E15" s="65"/>
      <c r="F15" s="66"/>
      <c r="G15" s="123"/>
      <c r="H15" s="122"/>
      <c r="I15" s="123"/>
    </row>
    <row r="16" spans="1:9" ht="14.5" x14ac:dyDescent="0.35">
      <c r="A16" s="64" t="str">
        <f>"       1. Gain (Loss)"</f>
        <v xml:space="preserve">       1. Gain (Loss)</v>
      </c>
      <c r="B16" s="65"/>
      <c r="C16" s="65"/>
      <c r="D16" s="65"/>
      <c r="E16" s="65"/>
      <c r="F16" s="66"/>
      <c r="G16" s="122" t="e">
        <f>G10-G14</f>
        <v>#DIV/0!</v>
      </c>
      <c r="H16" s="122" t="e">
        <f>H10-H14</f>
        <v>#DIV/0!</v>
      </c>
      <c r="I16" s="122" t="e">
        <f>I10-I14</f>
        <v>#DIV/0!</v>
      </c>
    </row>
    <row r="17" spans="1:9" ht="14.5" x14ac:dyDescent="0.35">
      <c r="A17" s="64" t="str">
        <f>"       2. Ratio of 1.04* Incurred Premium Income/Outgo"</f>
        <v xml:space="preserve">       2. Ratio of 1.04* Incurred Premium Income/Outgo</v>
      </c>
      <c r="B17" s="65"/>
      <c r="C17" s="65"/>
      <c r="D17" s="65"/>
      <c r="E17" s="65"/>
      <c r="F17" s="66"/>
      <c r="G17" s="124" t="e">
        <f>1.04*G7/G14</f>
        <v>#DIV/0!</v>
      </c>
      <c r="H17" s="124" t="e">
        <f>1.04*H7/H14</f>
        <v>#DIV/0!</v>
      </c>
      <c r="I17" s="124" t="e">
        <f>1.04*I7/I14</f>
        <v>#DIV/0!</v>
      </c>
    </row>
    <row r="18" spans="1:9" ht="14.5" x14ac:dyDescent="0.35">
      <c r="A18" s="64" t="s">
        <v>92</v>
      </c>
      <c r="B18" s="65"/>
      <c r="C18" s="65"/>
      <c r="D18" s="65"/>
      <c r="E18" s="65"/>
      <c r="F18" s="66"/>
      <c r="G18" s="123"/>
      <c r="H18" s="123"/>
      <c r="I18" s="123"/>
    </row>
    <row r="19" spans="1:9" ht="14.5" x14ac:dyDescent="0.35">
      <c r="A19" s="64" t="str">
        <f>"       1. Beginning Special"</f>
        <v xml:space="preserve">       1. Beginning Special</v>
      </c>
      <c r="B19" s="65"/>
      <c r="C19" s="65"/>
      <c r="D19" s="65"/>
      <c r="E19" s="65"/>
      <c r="F19" s="66"/>
      <c r="G19" s="122" t="e">
        <f>-G16+'Rate Proposal - 4 year'!F167</f>
        <v>#DIV/0!</v>
      </c>
      <c r="H19" s="122">
        <f>'Rate Proposal - 4 year'!F256</f>
        <v>0</v>
      </c>
      <c r="I19" s="122" t="e">
        <f>'Rate Proposal - 4 year'!F257</f>
        <v>#DIV/0!</v>
      </c>
    </row>
    <row r="20" spans="1:9" ht="14.5" x14ac:dyDescent="0.35">
      <c r="A20" s="64" t="str">
        <f>"       2. Ending Special"</f>
        <v xml:space="preserve">       2. Ending Special</v>
      </c>
      <c r="B20" s="65"/>
      <c r="C20" s="65"/>
      <c r="D20" s="65"/>
      <c r="E20" s="65"/>
      <c r="F20" s="66"/>
      <c r="G20" s="122">
        <f>'Rate Proposal - 4 year'!F167</f>
        <v>0</v>
      </c>
      <c r="H20" s="122" t="e">
        <f>'Rate Proposal - 4 year'!F257</f>
        <v>#DIV/0!</v>
      </c>
      <c r="I20" s="122" t="e">
        <f>I19+I16</f>
        <v>#DIV/0!</v>
      </c>
    </row>
    <row r="21" spans="1:9" ht="14.5" x14ac:dyDescent="0.35">
      <c r="A21" s="64" t="str">
        <f>"       3. Ending Contingency Reserve"</f>
        <v xml:space="preserve">       3. Ending Contingency Reserve</v>
      </c>
      <c r="B21" s="65"/>
      <c r="C21" s="65"/>
      <c r="D21" s="65"/>
      <c r="E21" s="65"/>
      <c r="F21" s="66"/>
      <c r="G21" s="122">
        <f>'Rate Proposal - 4 year'!E198</f>
        <v>0</v>
      </c>
      <c r="H21" s="122">
        <f>'Rate Proposal - 4 year'!F232</f>
        <v>0</v>
      </c>
      <c r="I21" s="122" t="e">
        <f>'Rate Proposal - 4 year'!F271</f>
        <v>#DIV/0!</v>
      </c>
    </row>
    <row r="22" spans="1:9" ht="14.5" x14ac:dyDescent="0.35">
      <c r="A22" s="64" t="str">
        <f>"       4. Total Unobligated Reserve"</f>
        <v xml:space="preserve">       4. Total Unobligated Reserve</v>
      </c>
      <c r="B22" s="65"/>
      <c r="C22" s="65"/>
      <c r="D22" s="65"/>
      <c r="E22" s="65"/>
      <c r="F22" s="66"/>
      <c r="G22" s="122">
        <f>G20+G21</f>
        <v>0</v>
      </c>
      <c r="H22" s="122" t="e">
        <f>H20+H21</f>
        <v>#DIV/0!</v>
      </c>
      <c r="I22" s="122" t="e">
        <f>I20+I21</f>
        <v>#DIV/0!</v>
      </c>
    </row>
    <row r="23" spans="1:9" ht="14.5" x14ac:dyDescent="0.35">
      <c r="A23" s="64" t="str">
        <f>"       5. Accrued Claims Reserve"</f>
        <v xml:space="preserve">       5. Accrued Claims Reserve</v>
      </c>
      <c r="B23" s="65"/>
      <c r="C23" s="65"/>
      <c r="D23" s="65"/>
      <c r="E23" s="65"/>
      <c r="F23" s="66"/>
      <c r="G23" s="122">
        <f>'Rate Proposal - 4 year'!F170</f>
        <v>0</v>
      </c>
      <c r="H23" s="122" t="e">
        <f>'Rate Proposal - 4 year'!F171</f>
        <v>#DIV/0!</v>
      </c>
      <c r="I23" s="122" t="e">
        <f>'Rate Proposal - 4 year'!F172</f>
        <v>#DIV/0!</v>
      </c>
    </row>
    <row r="24" spans="1:9" ht="14.5" x14ac:dyDescent="0.35">
      <c r="A24" s="64" t="str">
        <f>"       6. Accrued Adm. Expense Reserve"</f>
        <v xml:space="preserve">       6. Accrued Adm. Expense Reserve</v>
      </c>
      <c r="B24" s="65"/>
      <c r="C24" s="65"/>
      <c r="D24" s="65"/>
      <c r="E24" s="65"/>
      <c r="F24" s="66"/>
      <c r="G24" s="122">
        <f>'Rate Proposal - 4 year'!E185</f>
        <v>0</v>
      </c>
      <c r="H24" s="122" t="e">
        <f>'Rate Proposal - 4 year'!E186</f>
        <v>#DIV/0!</v>
      </c>
      <c r="I24" s="122" t="e">
        <f>'Rate Proposal - 4 year'!E187</f>
        <v>#DIV/0!</v>
      </c>
    </row>
    <row r="25" spans="1:9" ht="14.5" x14ac:dyDescent="0.35">
      <c r="A25" s="64" t="str">
        <f>"       7. Total Reserves"</f>
        <v xml:space="preserve">       7. Total Reserves</v>
      </c>
      <c r="B25" s="65"/>
      <c r="C25" s="65"/>
      <c r="D25" s="65"/>
      <c r="E25" s="65"/>
      <c r="F25" s="66"/>
      <c r="G25" s="122">
        <f>SUM(G22:G24)</f>
        <v>0</v>
      </c>
      <c r="H25" s="122" t="e">
        <f>H24+H23+H22</f>
        <v>#DIV/0!</v>
      </c>
      <c r="I25" s="122" t="e">
        <f>I22+I23+I24</f>
        <v>#DIV/0!</v>
      </c>
    </row>
    <row r="26" spans="1:9" ht="15" thickBot="1" x14ac:dyDescent="0.4">
      <c r="A26" s="70" t="s">
        <v>368</v>
      </c>
      <c r="B26" s="71"/>
      <c r="C26" s="71"/>
      <c r="D26" s="71"/>
      <c r="E26" s="71"/>
      <c r="F26" s="72"/>
      <c r="G26" s="400" t="e">
        <f>G22/(G14/12)</f>
        <v>#DIV/0!</v>
      </c>
      <c r="H26" s="400" t="e">
        <f>H22/(H14/12)</f>
        <v>#DIV/0!</v>
      </c>
      <c r="I26" s="400" t="e">
        <f>I22/(I14/12)</f>
        <v>#DIV/0!</v>
      </c>
    </row>
    <row r="27" spans="1:9" ht="14.5" x14ac:dyDescent="0.35">
      <c r="A27" s="54"/>
      <c r="B27" s="54"/>
      <c r="C27" s="54"/>
      <c r="D27" s="54"/>
      <c r="E27" s="54"/>
      <c r="F27" s="54"/>
      <c r="G27" s="54"/>
      <c r="H27" s="54"/>
      <c r="I27" s="54"/>
    </row>
    <row r="28" spans="1:9" ht="14.5" x14ac:dyDescent="0.35">
      <c r="A28" s="54"/>
      <c r="B28" s="54"/>
      <c r="C28" s="54"/>
      <c r="D28" s="54"/>
      <c r="E28" s="54"/>
      <c r="F28" s="54"/>
      <c r="G28" s="54"/>
      <c r="H28" s="54"/>
      <c r="I28" s="54"/>
    </row>
    <row r="29" spans="1:9" ht="14.5" x14ac:dyDescent="0.35">
      <c r="A29" s="54"/>
      <c r="B29" s="54"/>
      <c r="C29" s="54"/>
      <c r="D29" s="54"/>
      <c r="E29" s="54"/>
      <c r="F29" s="54"/>
      <c r="G29" s="54"/>
      <c r="H29" s="54"/>
      <c r="I29" s="54"/>
    </row>
    <row r="30" spans="1:9" ht="14.5" x14ac:dyDescent="0.35">
      <c r="A30" s="54"/>
      <c r="B30" s="54"/>
      <c r="C30" s="54"/>
      <c r="D30" s="54"/>
      <c r="E30" s="54"/>
      <c r="F30" s="54"/>
      <c r="G30" s="54"/>
      <c r="H30" s="54"/>
      <c r="I30" s="54"/>
    </row>
    <row r="31" spans="1:9" ht="14.5" x14ac:dyDescent="0.35">
      <c r="A31" s="54"/>
      <c r="B31" s="54"/>
      <c r="C31" s="54"/>
      <c r="D31" s="54"/>
      <c r="E31" s="54"/>
      <c r="F31" s="54"/>
      <c r="G31" s="54"/>
      <c r="H31" s="54"/>
      <c r="I31" s="54"/>
    </row>
    <row r="32" spans="1:9" ht="14.5" x14ac:dyDescent="0.35">
      <c r="A32" s="54"/>
      <c r="B32" s="54"/>
      <c r="C32" s="54"/>
      <c r="D32" s="54"/>
      <c r="E32" s="54"/>
      <c r="F32" s="54"/>
      <c r="G32" s="54"/>
      <c r="H32" s="54"/>
      <c r="I32" s="54"/>
    </row>
    <row r="33" spans="1:9" x14ac:dyDescent="0.3">
      <c r="A33" s="60"/>
      <c r="B33" s="60"/>
      <c r="C33" s="60"/>
      <c r="D33" s="60"/>
      <c r="E33" s="60"/>
      <c r="F33" s="60"/>
    </row>
    <row r="34" spans="1:9" x14ac:dyDescent="0.3">
      <c r="A34" s="60"/>
      <c r="B34" s="60"/>
      <c r="C34" s="60"/>
      <c r="D34" s="60"/>
      <c r="E34" s="60"/>
      <c r="F34" s="60"/>
    </row>
    <row r="35" spans="1:9" x14ac:dyDescent="0.3">
      <c r="A35" s="60"/>
      <c r="B35" s="60"/>
      <c r="C35" s="60"/>
      <c r="D35" s="60"/>
      <c r="E35" s="60"/>
      <c r="F35" s="60"/>
    </row>
    <row r="36" spans="1:9" x14ac:dyDescent="0.3">
      <c r="A36" s="60"/>
      <c r="B36" s="60"/>
      <c r="C36" s="60"/>
      <c r="D36" s="60"/>
      <c r="E36" s="60"/>
      <c r="F36" s="60"/>
    </row>
    <row r="37" spans="1:9" x14ac:dyDescent="0.3">
      <c r="A37" s="60"/>
      <c r="B37" s="60"/>
      <c r="C37" s="60"/>
      <c r="D37" s="60"/>
      <c r="E37" s="60"/>
      <c r="F37" s="60"/>
    </row>
    <row r="38" spans="1:9" x14ac:dyDescent="0.3">
      <c r="A38" s="60"/>
      <c r="B38" s="60"/>
      <c r="C38" s="60"/>
      <c r="D38" s="60"/>
      <c r="E38" s="60"/>
      <c r="F38" s="60"/>
    </row>
    <row r="39" spans="1:9" x14ac:dyDescent="0.3">
      <c r="A39" s="60"/>
      <c r="B39" s="60"/>
      <c r="C39" s="60"/>
      <c r="D39" s="60"/>
      <c r="E39" s="60"/>
      <c r="F39" s="60"/>
    </row>
    <row r="40" spans="1:9" x14ac:dyDescent="0.3">
      <c r="A40" s="60"/>
      <c r="B40" s="60"/>
      <c r="C40" s="60"/>
      <c r="D40" s="60"/>
      <c r="E40" s="60"/>
      <c r="F40" s="60"/>
    </row>
    <row r="41" spans="1:9" x14ac:dyDescent="0.3">
      <c r="A41" s="60"/>
      <c r="B41" s="60"/>
      <c r="C41" s="60"/>
      <c r="D41" s="60"/>
      <c r="E41" s="60"/>
      <c r="F41" s="60"/>
    </row>
    <row r="42" spans="1:9" x14ac:dyDescent="0.3">
      <c r="A42" s="60"/>
      <c r="B42" s="60"/>
      <c r="C42" s="60"/>
      <c r="D42" s="60"/>
      <c r="E42" s="60"/>
      <c r="F42" s="60"/>
    </row>
    <row r="43" spans="1:9" x14ac:dyDescent="0.3">
      <c r="A43" s="60"/>
      <c r="B43" s="60"/>
      <c r="C43" s="60"/>
      <c r="D43" s="60"/>
      <c r="E43" s="60"/>
      <c r="F43" s="60"/>
    </row>
    <row r="44" spans="1:9" x14ac:dyDescent="0.3">
      <c r="A44" s="60"/>
      <c r="B44" s="60"/>
      <c r="C44" s="60"/>
      <c r="D44" s="60"/>
      <c r="E44" s="60"/>
      <c r="F44" s="60"/>
    </row>
    <row r="45" spans="1:9" x14ac:dyDescent="0.3">
      <c r="A45" s="60"/>
      <c r="B45" s="60"/>
      <c r="C45" s="60"/>
      <c r="D45" s="60"/>
      <c r="E45" s="60"/>
      <c r="F45" s="60"/>
    </row>
    <row r="46" spans="1:9" x14ac:dyDescent="0.3">
      <c r="A46" s="60"/>
      <c r="B46" s="60"/>
      <c r="C46" s="60"/>
      <c r="D46" s="60"/>
      <c r="E46" s="60"/>
      <c r="F46" s="60"/>
      <c r="G46" s="60"/>
    </row>
    <row r="47" spans="1:9" ht="18.5" x14ac:dyDescent="0.45">
      <c r="A47" s="479"/>
      <c r="B47" s="479"/>
      <c r="C47" s="479"/>
      <c r="D47" s="479"/>
      <c r="E47" s="479"/>
      <c r="F47" s="479"/>
      <c r="G47" s="479"/>
      <c r="H47" s="479"/>
      <c r="I47" s="479"/>
    </row>
    <row r="48" spans="1:9" x14ac:dyDescent="0.3">
      <c r="A48" s="470"/>
      <c r="B48" s="470"/>
      <c r="C48" s="470"/>
      <c r="D48" s="470"/>
      <c r="E48" s="470"/>
      <c r="F48" s="470"/>
      <c r="G48" s="470"/>
      <c r="H48" s="470"/>
      <c r="I48" s="470"/>
    </row>
    <row r="49" spans="1:9" x14ac:dyDescent="0.3">
      <c r="A49" s="470"/>
      <c r="B49" s="470"/>
      <c r="C49" s="470"/>
      <c r="D49" s="470"/>
      <c r="E49" s="470"/>
      <c r="F49" s="470"/>
      <c r="G49" s="470"/>
      <c r="H49" s="470"/>
      <c r="I49" s="470"/>
    </row>
    <row r="50" spans="1:9" x14ac:dyDescent="0.3">
      <c r="A50" s="482"/>
      <c r="B50" s="482"/>
      <c r="C50" s="482"/>
      <c r="D50" s="482"/>
      <c r="E50" s="482"/>
      <c r="F50" s="482"/>
      <c r="G50" s="482"/>
      <c r="H50" s="482"/>
      <c r="I50" s="482"/>
    </row>
    <row r="51" spans="1:9" x14ac:dyDescent="0.3">
      <c r="B51" s="60"/>
      <c r="C51" s="60"/>
      <c r="D51" s="60"/>
      <c r="E51" s="60"/>
      <c r="F51" s="60"/>
      <c r="G51" s="60"/>
    </row>
    <row r="52" spans="1:9" x14ac:dyDescent="0.3">
      <c r="A52" s="60"/>
      <c r="B52" s="60"/>
      <c r="C52" s="60"/>
      <c r="D52" s="60"/>
      <c r="E52" s="60"/>
      <c r="F52" s="60"/>
      <c r="G52" s="60"/>
    </row>
    <row r="53" spans="1:9" x14ac:dyDescent="0.3">
      <c r="A53" s="60"/>
      <c r="B53" s="60"/>
      <c r="C53" s="60"/>
      <c r="D53" s="60"/>
      <c r="E53" s="60"/>
      <c r="F53" s="60"/>
    </row>
    <row r="54" spans="1:9" x14ac:dyDescent="0.3">
      <c r="A54" s="60"/>
      <c r="B54" s="60"/>
      <c r="C54" s="60"/>
      <c r="D54" s="60"/>
      <c r="E54" s="60"/>
      <c r="F54" s="60"/>
    </row>
    <row r="55" spans="1:9" x14ac:dyDescent="0.3">
      <c r="A55" s="60"/>
      <c r="B55" s="60"/>
      <c r="C55" s="60"/>
      <c r="D55" s="60"/>
      <c r="E55" s="60"/>
      <c r="F55" s="60"/>
    </row>
    <row r="56" spans="1:9" x14ac:dyDescent="0.3">
      <c r="A56" s="60"/>
      <c r="B56" s="60"/>
      <c r="C56" s="60"/>
      <c r="D56" s="60"/>
      <c r="E56" s="60"/>
      <c r="F56" s="60"/>
    </row>
    <row r="57" spans="1:9" x14ac:dyDescent="0.3">
      <c r="A57" s="60"/>
      <c r="B57" s="60"/>
      <c r="C57" s="60"/>
      <c r="D57" s="60"/>
      <c r="E57" s="60"/>
      <c r="F57" s="60"/>
    </row>
    <row r="58" spans="1:9" x14ac:dyDescent="0.3">
      <c r="A58" s="60"/>
      <c r="B58" s="60"/>
      <c r="C58" s="60"/>
      <c r="D58" s="60"/>
      <c r="E58" s="60"/>
      <c r="F58" s="60"/>
    </row>
    <row r="59" spans="1:9" x14ac:dyDescent="0.3">
      <c r="A59" s="60"/>
      <c r="B59" s="60"/>
      <c r="C59" s="60"/>
      <c r="D59" s="60"/>
      <c r="E59" s="60"/>
      <c r="F59" s="60"/>
    </row>
    <row r="60" spans="1:9" x14ac:dyDescent="0.3">
      <c r="A60" s="60"/>
      <c r="B60" s="60"/>
      <c r="C60" s="60"/>
      <c r="D60" s="60"/>
      <c r="E60" s="60"/>
      <c r="F60" s="60"/>
    </row>
    <row r="61" spans="1:9" x14ac:dyDescent="0.3">
      <c r="A61" s="60"/>
      <c r="B61" s="60"/>
      <c r="C61" s="60"/>
      <c r="D61" s="60"/>
      <c r="E61" s="60"/>
      <c r="F61" s="60"/>
    </row>
    <row r="62" spans="1:9" x14ac:dyDescent="0.3">
      <c r="A62" s="60"/>
      <c r="B62" s="60"/>
      <c r="C62" s="60"/>
      <c r="D62" s="60"/>
      <c r="E62" s="60"/>
      <c r="F62" s="60"/>
    </row>
    <row r="63" spans="1:9" x14ac:dyDescent="0.3">
      <c r="A63" s="60"/>
      <c r="B63" s="60"/>
      <c r="C63" s="60"/>
      <c r="D63" s="60"/>
      <c r="E63" s="60"/>
      <c r="F63" s="60"/>
    </row>
    <row r="64" spans="1:9" x14ac:dyDescent="0.3">
      <c r="A64" s="60"/>
      <c r="B64" s="60"/>
      <c r="C64" s="60"/>
      <c r="D64" s="60"/>
      <c r="E64" s="60"/>
      <c r="F64" s="60"/>
    </row>
    <row r="65" spans="1:7" x14ac:dyDescent="0.3">
      <c r="A65" s="60"/>
      <c r="B65" s="60"/>
      <c r="C65" s="60"/>
      <c r="D65" s="60"/>
      <c r="E65" s="60"/>
      <c r="F65" s="60"/>
    </row>
    <row r="66" spans="1:7" x14ac:dyDescent="0.3">
      <c r="A66" s="60"/>
      <c r="B66" s="60"/>
      <c r="C66" s="60"/>
      <c r="D66" s="60"/>
      <c r="E66" s="60"/>
      <c r="F66" s="60"/>
    </row>
    <row r="67" spans="1:7" x14ac:dyDescent="0.3">
      <c r="A67" s="60"/>
      <c r="B67" s="60"/>
      <c r="C67" s="60"/>
      <c r="D67" s="60"/>
      <c r="E67" s="60"/>
      <c r="F67" s="60"/>
    </row>
    <row r="68" spans="1:7" x14ac:dyDescent="0.3">
      <c r="A68" s="60"/>
      <c r="B68" s="60"/>
      <c r="C68" s="60"/>
      <c r="D68" s="60"/>
      <c r="E68" s="60"/>
      <c r="F68" s="60"/>
    </row>
    <row r="69" spans="1:7" x14ac:dyDescent="0.3">
      <c r="A69" s="60"/>
      <c r="B69" s="60"/>
      <c r="C69" s="60"/>
      <c r="D69" s="60"/>
      <c r="E69" s="60"/>
      <c r="F69" s="60"/>
    </row>
    <row r="70" spans="1:7" x14ac:dyDescent="0.3">
      <c r="A70" s="60"/>
      <c r="B70" s="60"/>
      <c r="C70" s="60"/>
      <c r="D70" s="60"/>
      <c r="E70" s="60"/>
      <c r="F70" s="60"/>
    </row>
    <row r="71" spans="1:7" x14ac:dyDescent="0.3">
      <c r="A71" s="60"/>
      <c r="B71" s="60"/>
      <c r="C71" s="60"/>
      <c r="D71" s="60"/>
      <c r="E71" s="60"/>
      <c r="F71" s="60"/>
    </row>
    <row r="72" spans="1:7" x14ac:dyDescent="0.3">
      <c r="A72" s="60"/>
      <c r="B72" s="60"/>
      <c r="C72" s="60"/>
      <c r="D72" s="60"/>
      <c r="E72" s="60"/>
      <c r="F72" s="60"/>
    </row>
    <row r="73" spans="1:7" x14ac:dyDescent="0.3">
      <c r="A73" s="60"/>
      <c r="B73" s="60"/>
      <c r="C73" s="60"/>
      <c r="D73" s="60"/>
      <c r="E73" s="60"/>
      <c r="F73" s="60"/>
      <c r="G73" s="60"/>
    </row>
    <row r="74" spans="1:7" x14ac:dyDescent="0.3">
      <c r="B74" s="60"/>
      <c r="C74" s="60"/>
      <c r="D74" s="60"/>
      <c r="E74" s="60"/>
      <c r="F74" s="60"/>
      <c r="G74" s="60"/>
    </row>
    <row r="75" spans="1:7" x14ac:dyDescent="0.3">
      <c r="B75" s="60"/>
      <c r="C75" s="60"/>
      <c r="D75" s="60"/>
      <c r="E75" s="60"/>
      <c r="F75" s="60"/>
    </row>
    <row r="76" spans="1:7" x14ac:dyDescent="0.3">
      <c r="B76" s="60"/>
      <c r="C76" s="60"/>
      <c r="D76" s="60"/>
      <c r="E76" s="60"/>
      <c r="F76" s="60"/>
    </row>
    <row r="77" spans="1:7" x14ac:dyDescent="0.3">
      <c r="B77" s="60"/>
      <c r="C77" s="60"/>
      <c r="D77" s="60"/>
      <c r="E77" s="60"/>
      <c r="F77" s="60"/>
    </row>
  </sheetData>
  <sheetProtection algorithmName="SHA-512" hashValue="HHBGJ43lRzwPXv1SrfbFtAHqwkXjH07ORe18bBzpqr4rnTxPMYMA1ceNNDZnbvE0HYzX86eEKFXVDMJn+aMg7A==" saltValue="Qn/mDLcbNPY/XcCaXX3KHw==" spinCount="100000" sheet="1" objects="1" scenarios="1"/>
  <mergeCells count="7">
    <mergeCell ref="A48:I48"/>
    <mergeCell ref="A49:I49"/>
    <mergeCell ref="A50:I50"/>
    <mergeCell ref="A1:I1"/>
    <mergeCell ref="A2:I2"/>
    <mergeCell ref="A3:I3"/>
    <mergeCell ref="A47:I47"/>
  </mergeCells>
  <phoneticPr fontId="3" type="noConversion"/>
  <printOptions horizontalCentered="1" verticalCentered="1"/>
  <pageMargins left="0.75" right="0.75" top="1" bottom="1" header="0.5" footer="0.5"/>
  <pageSetup orientation="landscape" r:id="rId1"/>
  <headerFooter alignWithMargins="0"/>
  <rowBreaks count="1" manualBreakCount="1">
    <brk id="4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indexed="29"/>
  </sheetPr>
  <dimension ref="A1:J35"/>
  <sheetViews>
    <sheetView zoomScaleNormal="100" workbookViewId="0">
      <selection activeCell="A2" sqref="A2:G2"/>
    </sheetView>
  </sheetViews>
  <sheetFormatPr defaultColWidth="9.1796875" defaultRowHeight="13" x14ac:dyDescent="0.3"/>
  <cols>
    <col min="1" max="4" width="9.1796875" style="6"/>
    <col min="5" max="7" width="14.26953125" style="6" customWidth="1"/>
    <col min="8" max="16384" width="9.1796875" style="6"/>
  </cols>
  <sheetData>
    <row r="1" spans="1:10" ht="18.5" x14ac:dyDescent="0.45">
      <c r="A1" s="479" t="s">
        <v>201</v>
      </c>
      <c r="B1" s="479"/>
      <c r="C1" s="479"/>
      <c r="D1" s="479"/>
      <c r="E1" s="479"/>
      <c r="F1" s="479"/>
      <c r="G1" s="479"/>
      <c r="H1" s="479"/>
      <c r="I1" s="479"/>
      <c r="J1" s="479"/>
    </row>
    <row r="2" spans="1:10" ht="14.5" x14ac:dyDescent="0.35">
      <c r="A2" s="477">
        <f>Plan</f>
        <v>0</v>
      </c>
      <c r="B2" s="477"/>
      <c r="C2" s="477"/>
      <c r="D2" s="477"/>
      <c r="E2" s="477"/>
      <c r="F2" s="477"/>
      <c r="G2" s="477"/>
      <c r="H2" s="470"/>
      <c r="I2" s="470"/>
      <c r="J2" s="470"/>
    </row>
    <row r="3" spans="1:10" ht="15" thickBot="1" x14ac:dyDescent="0.4">
      <c r="A3" s="481" t="str">
        <f>IF(Option="1, 3, 2", Code&amp;"1, "&amp;Code&amp;"3, "&amp;Code&amp;"2", IF(Option="4, 6, 5", Code&amp;"4, "&amp;Code&amp;"6, "&amp;Code&amp;"5", ""))</f>
        <v/>
      </c>
      <c r="B3" s="481"/>
      <c r="C3" s="481"/>
      <c r="D3" s="481"/>
      <c r="E3" s="481"/>
      <c r="F3" s="481"/>
      <c r="G3" s="481"/>
      <c r="H3" s="470"/>
      <c r="I3" s="470"/>
      <c r="J3" s="470"/>
    </row>
    <row r="4" spans="1:10" ht="15" thickBot="1" x14ac:dyDescent="0.4">
      <c r="A4" s="61"/>
      <c r="B4" s="62"/>
      <c r="C4" s="62"/>
      <c r="D4" s="62"/>
      <c r="E4" s="129" t="s">
        <v>33</v>
      </c>
      <c r="F4" s="129" t="s">
        <v>190</v>
      </c>
      <c r="G4" s="130" t="s">
        <v>34</v>
      </c>
      <c r="H4" s="59"/>
      <c r="I4" s="59"/>
      <c r="J4" s="59"/>
    </row>
    <row r="5" spans="1:10" ht="14.5" x14ac:dyDescent="0.35">
      <c r="A5" s="64" t="str">
        <f>"A.   "&amp;year-1&amp;" Rates"</f>
        <v>A.   2020 Rates</v>
      </c>
      <c r="B5" s="65"/>
      <c r="C5" s="65"/>
      <c r="D5" s="65"/>
      <c r="E5" s="235">
        <f>'Rate Proposal - 4 year'!C37</f>
        <v>0</v>
      </c>
      <c r="F5" s="235">
        <f>'Rate Proposal - 4 year'!C38</f>
        <v>0</v>
      </c>
      <c r="G5" s="237">
        <f>'Rate Proposal - 4 year'!C39</f>
        <v>0</v>
      </c>
      <c r="H5" s="59"/>
      <c r="I5" s="59"/>
      <c r="J5" s="59"/>
    </row>
    <row r="6" spans="1:10" ht="14.5" x14ac:dyDescent="0.35">
      <c r="A6" s="64"/>
      <c r="B6" s="65"/>
      <c r="C6" s="65"/>
      <c r="D6" s="65"/>
      <c r="E6" s="133"/>
      <c r="F6" s="133"/>
      <c r="G6" s="134"/>
      <c r="H6" s="59"/>
      <c r="I6" s="59"/>
      <c r="J6" s="59"/>
    </row>
    <row r="7" spans="1:10" ht="14.5" x14ac:dyDescent="0.35">
      <c r="A7" s="64" t="str">
        <f>"B.   "&amp;year&amp;" Rates"</f>
        <v>B.   2021 Rates</v>
      </c>
      <c r="B7" s="65"/>
      <c r="C7" s="65"/>
      <c r="D7" s="65"/>
      <c r="E7" s="133"/>
      <c r="F7" s="133"/>
      <c r="G7" s="134"/>
      <c r="H7" s="59"/>
      <c r="I7" s="59"/>
      <c r="J7" s="59"/>
    </row>
    <row r="8" spans="1:10" ht="14.5" x14ac:dyDescent="0.35">
      <c r="A8" s="64"/>
      <c r="B8" s="65"/>
      <c r="C8" s="65"/>
      <c r="D8" s="65"/>
      <c r="E8" s="133"/>
      <c r="F8" s="133"/>
      <c r="G8" s="134"/>
      <c r="H8" s="59"/>
      <c r="I8" s="59"/>
      <c r="J8" s="59"/>
    </row>
    <row r="9" spans="1:10" ht="14.5" x14ac:dyDescent="0.35">
      <c r="A9" s="64" t="str">
        <f>"    1.  Experience Change"</f>
        <v xml:space="preserve">    1.  Experience Change</v>
      </c>
      <c r="B9" s="65"/>
      <c r="C9" s="65"/>
      <c r="D9" s="65"/>
      <c r="E9" s="131" t="e">
        <f>E15-E5-E11-E13</f>
        <v>#DIV/0!</v>
      </c>
      <c r="F9" s="131" t="e">
        <f>F15-F5-F11-F13</f>
        <v>#DIV/0!</v>
      </c>
      <c r="G9" s="132" t="e">
        <f>G15-G5-G11-G13</f>
        <v>#DIV/0!</v>
      </c>
      <c r="H9" s="59"/>
      <c r="I9" s="59"/>
      <c r="J9" s="59"/>
    </row>
    <row r="10" spans="1:10" ht="14.5" x14ac:dyDescent="0.35">
      <c r="A10" s="64"/>
      <c r="B10" s="65"/>
      <c r="C10" s="65"/>
      <c r="D10" s="65"/>
      <c r="E10" s="133"/>
      <c r="F10" s="133"/>
      <c r="G10" s="134"/>
      <c r="H10" s="59"/>
      <c r="I10" s="59"/>
      <c r="J10" s="59"/>
    </row>
    <row r="11" spans="1:10" ht="14.5" x14ac:dyDescent="0.35">
      <c r="A11" s="64" t="str">
        <f>"    2.  Benefit Change"</f>
        <v xml:space="preserve">    2.  Benefit Change</v>
      </c>
      <c r="B11" s="65"/>
      <c r="C11" s="65"/>
      <c r="D11" s="65"/>
      <c r="E11" s="131" t="e">
        <f>IF('Rate Proposal - 4 year'!$D$119=0,E5*'Rate Proposal - 4 year'!$D$120-'Table2 - 4 year'!E5,'Table2 - 4 year'!E5*'Rate Proposal - 4 year'!$D$119-'Table2 - 4 year'!E5)</f>
        <v>#DIV/0!</v>
      </c>
      <c r="F11" s="131" t="e">
        <f>IF('Rate Proposal - 4 year'!$D$119=0,F5*'Rate Proposal - 4 year'!$D$120-'Table2 - 4 year'!F5,'Table2 - 4 year'!F5*'Rate Proposal - 4 year'!$D$119-'Table2 - 4 year'!F5)</f>
        <v>#DIV/0!</v>
      </c>
      <c r="G11" s="132" t="e">
        <f>IF('Rate Proposal - 4 year'!$D$119=0,G5*'Rate Proposal - 4 year'!$D$120-'Table2 - 4 year'!G5,'Table2 - 4 year'!G5*'Rate Proposal - 4 year'!$D$119-'Table2 - 4 year'!G5)</f>
        <v>#DIV/0!</v>
      </c>
      <c r="H11" s="59"/>
      <c r="I11" s="59"/>
      <c r="J11" s="59"/>
    </row>
    <row r="12" spans="1:10" ht="14.5" x14ac:dyDescent="0.35">
      <c r="A12" s="64"/>
      <c r="B12" s="65"/>
      <c r="C12" s="65"/>
      <c r="D12" s="65"/>
      <c r="E12" s="131"/>
      <c r="F12" s="131"/>
      <c r="G12" s="132"/>
      <c r="H12" s="59"/>
      <c r="I12" s="59"/>
      <c r="J12" s="59"/>
    </row>
    <row r="13" spans="1:10" ht="14.5" x14ac:dyDescent="0.35">
      <c r="A13" s="64" t="str">
        <f>"    3.  Other Changes"</f>
        <v xml:space="preserve">    3.  Other Changes</v>
      </c>
      <c r="B13" s="65"/>
      <c r="C13" s="65"/>
      <c r="D13" s="65"/>
      <c r="E13" s="131">
        <f>-E5*(1-'Rate Proposal - 4 year'!$D$148)</f>
        <v>0</v>
      </c>
      <c r="F13" s="131">
        <f>-F5*(1-'Rate Proposal - 4 year'!$D$148)</f>
        <v>0</v>
      </c>
      <c r="G13" s="132">
        <f>-G5*(1-'Rate Proposal - 4 year'!$D$148)</f>
        <v>0</v>
      </c>
      <c r="H13" s="59"/>
      <c r="I13" s="59"/>
      <c r="J13" s="59"/>
    </row>
    <row r="14" spans="1:10" ht="14.5" x14ac:dyDescent="0.35">
      <c r="A14" s="64"/>
      <c r="B14" s="65"/>
      <c r="C14" s="65"/>
      <c r="D14" s="65"/>
      <c r="E14" s="133"/>
      <c r="F14" s="133"/>
      <c r="G14" s="134"/>
      <c r="H14" s="59"/>
      <c r="I14" s="59"/>
      <c r="J14" s="59"/>
    </row>
    <row r="15" spans="1:10" ht="14.5" x14ac:dyDescent="0.35">
      <c r="A15" s="64" t="str">
        <f>"    4.  Total ( " &amp; year &amp; " Rates)"</f>
        <v xml:space="preserve">    4.  Total ( 2021 Rates)</v>
      </c>
      <c r="B15" s="65"/>
      <c r="C15" s="65"/>
      <c r="D15" s="65"/>
      <c r="E15" s="235">
        <f>'Rate Proposal - 4 year'!C42</f>
        <v>0</v>
      </c>
      <c r="F15" s="235">
        <f>'Rate Proposal - 4 year'!C43</f>
        <v>0</v>
      </c>
      <c r="G15" s="237">
        <f>'Rate Proposal - 4 year'!C44</f>
        <v>0</v>
      </c>
      <c r="H15" s="59"/>
      <c r="I15" s="59"/>
      <c r="J15" s="59"/>
    </row>
    <row r="16" spans="1:10" ht="14.5" x14ac:dyDescent="0.35">
      <c r="A16" s="64"/>
      <c r="B16" s="65"/>
      <c r="C16" s="65"/>
      <c r="D16" s="65"/>
      <c r="E16" s="133"/>
      <c r="F16" s="133"/>
      <c r="G16" s="134"/>
      <c r="H16" s="59"/>
      <c r="I16" s="59"/>
      <c r="J16" s="59"/>
    </row>
    <row r="17" spans="1:10" ht="14.5" x14ac:dyDescent="0.35">
      <c r="A17" s="64" t="str">
        <f>"C.   Percent Change from "&amp;year-1&amp;" to "&amp; year</f>
        <v>C.   Percent Change from 2020 to 2021</v>
      </c>
      <c r="B17" s="65"/>
      <c r="C17" s="65"/>
      <c r="D17" s="65"/>
      <c r="E17" s="133"/>
      <c r="F17" s="133"/>
      <c r="G17" s="134"/>
      <c r="H17" s="59"/>
      <c r="I17" s="59"/>
      <c r="J17" s="59"/>
    </row>
    <row r="18" spans="1:10" ht="14.5" x14ac:dyDescent="0.35">
      <c r="A18" s="64"/>
      <c r="B18" s="65"/>
      <c r="C18" s="65"/>
      <c r="D18" s="65"/>
      <c r="E18" s="133"/>
      <c r="F18" s="133"/>
      <c r="G18" s="134"/>
      <c r="H18" s="59"/>
      <c r="I18" s="59"/>
      <c r="J18" s="59"/>
    </row>
    <row r="19" spans="1:10" ht="14.5" x14ac:dyDescent="0.35">
      <c r="A19" s="64" t="str">
        <f>"    1.  Experience Change"</f>
        <v xml:space="preserve">    1.  Experience Change</v>
      </c>
      <c r="B19" s="65"/>
      <c r="C19" s="65"/>
      <c r="D19" s="65"/>
      <c r="E19" s="135" t="e">
        <f>E9/$E$5</f>
        <v>#DIV/0!</v>
      </c>
      <c r="F19" s="135" t="e">
        <f>F9/$F$5</f>
        <v>#DIV/0!</v>
      </c>
      <c r="G19" s="136" t="e">
        <f>G9/$G$5</f>
        <v>#DIV/0!</v>
      </c>
      <c r="H19" s="59"/>
      <c r="I19" s="59"/>
      <c r="J19" s="59"/>
    </row>
    <row r="20" spans="1:10" ht="14.5" x14ac:dyDescent="0.35">
      <c r="A20" s="64"/>
      <c r="B20" s="65"/>
      <c r="C20" s="65"/>
      <c r="D20" s="65"/>
      <c r="E20" s="135"/>
      <c r="F20" s="135"/>
      <c r="G20" s="136"/>
      <c r="H20" s="59"/>
      <c r="I20" s="59"/>
      <c r="J20" s="59"/>
    </row>
    <row r="21" spans="1:10" ht="14.5" x14ac:dyDescent="0.35">
      <c r="A21" s="64" t="str">
        <f>"    2.  Benefit Change"</f>
        <v xml:space="preserve">    2.  Benefit Change</v>
      </c>
      <c r="B21" s="65"/>
      <c r="C21" s="65"/>
      <c r="D21" s="65"/>
      <c r="E21" s="135" t="e">
        <f>E11/$E$5</f>
        <v>#DIV/0!</v>
      </c>
      <c r="F21" s="135" t="e">
        <f>F11/$F$5</f>
        <v>#DIV/0!</v>
      </c>
      <c r="G21" s="136" t="e">
        <f>G11/$G$5</f>
        <v>#DIV/0!</v>
      </c>
      <c r="H21" s="59"/>
      <c r="I21" s="59"/>
      <c r="J21" s="59"/>
    </row>
    <row r="22" spans="1:10" ht="14.5" x14ac:dyDescent="0.35">
      <c r="A22" s="64"/>
      <c r="B22" s="65"/>
      <c r="C22" s="65"/>
      <c r="D22" s="65"/>
      <c r="E22" s="135"/>
      <c r="F22" s="135"/>
      <c r="G22" s="136"/>
      <c r="H22" s="59"/>
      <c r="I22" s="59"/>
      <c r="J22" s="59"/>
    </row>
    <row r="23" spans="1:10" ht="14.5" x14ac:dyDescent="0.35">
      <c r="A23" s="64" t="str">
        <f>"    3.  Other Changes"</f>
        <v xml:space="preserve">    3.  Other Changes</v>
      </c>
      <c r="B23" s="65"/>
      <c r="C23" s="65"/>
      <c r="D23" s="65"/>
      <c r="E23" s="135" t="e">
        <f>E13/$E$5</f>
        <v>#DIV/0!</v>
      </c>
      <c r="F23" s="135" t="e">
        <f>F13/$F$5</f>
        <v>#DIV/0!</v>
      </c>
      <c r="G23" s="136" t="e">
        <f>G13/$G$5</f>
        <v>#DIV/0!</v>
      </c>
      <c r="H23" s="59"/>
      <c r="I23" s="59"/>
      <c r="J23" s="59"/>
    </row>
    <row r="24" spans="1:10" ht="14.5" x14ac:dyDescent="0.35">
      <c r="A24" s="64"/>
      <c r="B24" s="65"/>
      <c r="C24" s="65"/>
      <c r="D24" s="65"/>
      <c r="E24" s="135"/>
      <c r="F24" s="135"/>
      <c r="G24" s="136"/>
      <c r="H24" s="59"/>
      <c r="I24" s="59"/>
      <c r="J24" s="59"/>
    </row>
    <row r="25" spans="1:10" ht="15" thickBot="1" x14ac:dyDescent="0.4">
      <c r="A25" s="70" t="str">
        <f>"    4.  Total Changes"</f>
        <v xml:space="preserve">    4.  Total Changes</v>
      </c>
      <c r="B25" s="71"/>
      <c r="C25" s="71"/>
      <c r="D25" s="71"/>
      <c r="E25" s="238" t="e">
        <f>E15/$E$5-1</f>
        <v>#DIV/0!</v>
      </c>
      <c r="F25" s="238" t="e">
        <f>F15/$F$5-1</f>
        <v>#DIV/0!</v>
      </c>
      <c r="G25" s="239" t="e">
        <f>G15/$G$5-1</f>
        <v>#DIV/0!</v>
      </c>
      <c r="H25" s="59"/>
      <c r="I25" s="59"/>
      <c r="J25" s="59"/>
    </row>
    <row r="26" spans="1:10" ht="13.5" thickBot="1" x14ac:dyDescent="0.35"/>
    <row r="27" spans="1:10" ht="15" thickBot="1" x14ac:dyDescent="0.4">
      <c r="A27" s="285" t="s">
        <v>202</v>
      </c>
      <c r="B27" s="286"/>
      <c r="C27" s="286"/>
      <c r="D27" s="286"/>
      <c r="E27" s="286"/>
      <c r="F27" s="286"/>
      <c r="G27" s="259">
        <f>year</f>
        <v>2021</v>
      </c>
    </row>
    <row r="28" spans="1:10" ht="14.5" x14ac:dyDescent="0.35">
      <c r="A28" s="252" t="str">
        <f>"Incurred Claims"</f>
        <v>Incurred Claims</v>
      </c>
      <c r="B28" s="280"/>
      <c r="C28" s="280"/>
      <c r="D28" s="280"/>
      <c r="E28" s="280"/>
      <c r="F28" s="280"/>
      <c r="G28" s="281" t="e">
        <f>'Rate Proposal - 4 year'!G158</f>
        <v>#DIV/0!</v>
      </c>
    </row>
    <row r="29" spans="1:10" ht="14.5" x14ac:dyDescent="0.35">
      <c r="A29" s="64" t="str">
        <f>"Incurred Expenses"</f>
        <v>Incurred Expenses</v>
      </c>
      <c r="B29" s="3"/>
      <c r="C29" s="3"/>
      <c r="D29" s="3"/>
      <c r="E29" s="3"/>
      <c r="F29" s="3"/>
      <c r="G29" s="282" t="e">
        <f>'Rate Proposal - 4 year'!C187+'Rate Proposal - 4 year'!E180</f>
        <v>#DIV/0!</v>
      </c>
    </row>
    <row r="30" spans="1:10" ht="14.5" x14ac:dyDescent="0.35">
      <c r="A30" s="64" t="str">
        <f>"Estimated Service Charge"</f>
        <v>Estimated Service Charge</v>
      </c>
      <c r="B30" s="3"/>
      <c r="C30" s="3"/>
      <c r="D30" s="3"/>
      <c r="E30" s="3"/>
      <c r="F30" s="3"/>
      <c r="G30" s="282">
        <f>'Rate Proposal - 4 year'!F189</f>
        <v>0</v>
      </c>
    </row>
    <row r="31" spans="1:10" ht="15" thickBot="1" x14ac:dyDescent="0.4">
      <c r="A31" s="70" t="str">
        <f>"Estimated Cost of Facility Capital"</f>
        <v>Estimated Cost of Facility Capital</v>
      </c>
      <c r="B31" s="283"/>
      <c r="C31" s="283"/>
      <c r="D31" s="283"/>
      <c r="E31" s="283"/>
      <c r="F31" s="283"/>
      <c r="G31" s="284">
        <f>'Rate Proposal - 4 year'!F190</f>
        <v>0</v>
      </c>
    </row>
    <row r="32" spans="1:10" ht="13.5" thickBot="1" x14ac:dyDescent="0.35"/>
    <row r="33" spans="1:7" ht="15" thickBot="1" x14ac:dyDescent="0.4">
      <c r="A33" s="285" t="s">
        <v>357</v>
      </c>
      <c r="B33" s="286"/>
      <c r="C33" s="286"/>
      <c r="D33" s="286"/>
      <c r="E33" s="286"/>
      <c r="F33" s="286"/>
      <c r="G33" s="259">
        <f>year</f>
        <v>2021</v>
      </c>
    </row>
    <row r="34" spans="1:7" ht="14.5" x14ac:dyDescent="0.35">
      <c r="A34" s="64" t="s">
        <v>358</v>
      </c>
      <c r="B34" s="3"/>
      <c r="C34" s="3"/>
      <c r="D34" s="3"/>
      <c r="E34" s="3"/>
      <c r="F34" s="3"/>
      <c r="G34" s="282">
        <f>'Table1 - 4 year'!I7/12</f>
        <v>0</v>
      </c>
    </row>
    <row r="35" spans="1:7" ht="15" thickBot="1" x14ac:dyDescent="0.4">
      <c r="A35" s="70" t="s">
        <v>359</v>
      </c>
      <c r="B35" s="283"/>
      <c r="C35" s="283"/>
      <c r="D35" s="283"/>
      <c r="E35" s="283"/>
      <c r="F35" s="283"/>
      <c r="G35" s="284" t="e">
        <f>'Table1 - 4 year'!I14/12</f>
        <v>#DIV/0!</v>
      </c>
    </row>
  </sheetData>
  <sheetProtection algorithmName="SHA-512" hashValue="fyqhSnHi+drGfCutS3i7CvQ52VPfo+lOt+LWxj6Ft0Wt4W+lxyhV9WyVFs6CfGKLN730DX2oeN0ZNvMfPhRDBw==" saltValue="F8Y1SBOUPcjVZMTMrsbt3w==" spinCount="100000" sheet="1" objects="1" scenarios="1"/>
  <mergeCells count="6">
    <mergeCell ref="A3:G3"/>
    <mergeCell ref="H3:J3"/>
    <mergeCell ref="A1:G1"/>
    <mergeCell ref="H1:J1"/>
    <mergeCell ref="A2:G2"/>
    <mergeCell ref="H2:J2"/>
  </mergeCells>
  <phoneticPr fontId="3" type="noConversion"/>
  <printOptions horizontalCentered="1"/>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32"/>
  </sheetPr>
  <dimension ref="A1:V303"/>
  <sheetViews>
    <sheetView zoomScaleNormal="100" workbookViewId="0">
      <selection activeCell="A2" sqref="A2:K2"/>
    </sheetView>
  </sheetViews>
  <sheetFormatPr defaultColWidth="9.1796875" defaultRowHeight="14.5" x14ac:dyDescent="0.35"/>
  <cols>
    <col min="1" max="8" width="16.7265625" style="54" customWidth="1"/>
    <col min="9" max="9" width="17.453125" style="54" customWidth="1"/>
    <col min="10" max="10" width="7.26953125" style="54" customWidth="1"/>
    <col min="11" max="14" width="9.26953125" style="54" customWidth="1"/>
    <col min="15" max="17" width="9.1796875" style="54"/>
    <col min="18" max="18" width="9.1796875" style="54" customWidth="1"/>
    <col min="19" max="21" width="9.1796875" style="54" hidden="1" customWidth="1"/>
    <col min="22" max="22" width="9.1796875" style="54" customWidth="1"/>
    <col min="23" max="16384" width="9.1796875" style="54"/>
  </cols>
  <sheetData>
    <row r="1" spans="1:22" ht="23.5" x14ac:dyDescent="0.55000000000000004">
      <c r="A1" s="469" t="s">
        <v>171</v>
      </c>
      <c r="B1" s="469"/>
      <c r="C1" s="469"/>
      <c r="D1" s="469"/>
      <c r="E1" s="469"/>
      <c r="F1" s="469"/>
      <c r="G1" s="469"/>
      <c r="H1" s="469"/>
      <c r="I1" s="469"/>
      <c r="J1" s="469"/>
      <c r="K1" s="469"/>
      <c r="R1" s="76"/>
      <c r="S1" s="54" t="s">
        <v>76</v>
      </c>
      <c r="T1" s="54">
        <f>CHOOSE(MATCH(E205,S1:S13,0),1,2,3,4,5,6,7,8,9,10,11,12,13)</f>
        <v>13</v>
      </c>
      <c r="U1" s="54" t="b">
        <f>IF(AND(T1&gt;12,T2&gt;12,T3&gt;12),TRUE,FALSE)</f>
        <v>1</v>
      </c>
      <c r="V1" s="4"/>
    </row>
    <row r="2" spans="1:22" x14ac:dyDescent="0.35">
      <c r="A2" s="470" t="str">
        <f xml:space="preserve"> Plan &amp; " - " &amp;IF(Option="1, 3, 2", Code&amp;"1, "&amp;Code&amp;"3, "&amp;Code&amp;"2", IF(Option="4, 6, 5", Code&amp;"4, "&amp;Code&amp;"6, "&amp;Code&amp;"5", ""))</f>
        <v xml:space="preserve"> - </v>
      </c>
      <c r="B2" s="470"/>
      <c r="C2" s="470"/>
      <c r="D2" s="470"/>
      <c r="E2" s="470"/>
      <c r="F2" s="470"/>
      <c r="G2" s="470"/>
      <c r="H2" s="470"/>
      <c r="I2" s="470"/>
      <c r="J2" s="470"/>
      <c r="K2" s="470"/>
      <c r="R2" s="76"/>
      <c r="S2" s="54" t="s">
        <v>77</v>
      </c>
      <c r="T2" s="54">
        <f>CHOOSE(MATCH(E207,S1:S13,0),1,2,3,4,5,6,7,8,9,10,11,12,13)</f>
        <v>13</v>
      </c>
      <c r="V2" s="4"/>
    </row>
    <row r="3" spans="1:22" ht="15.75" customHeight="1" x14ac:dyDescent="0.35">
      <c r="R3" s="378"/>
      <c r="S3" s="54" t="s">
        <v>78</v>
      </c>
      <c r="T3" s="54">
        <f>CHOOSE(MATCH(E209,S1:S13,0),1,2,3,4,5,6,7,8,9,10,11,12,13)</f>
        <v>13</v>
      </c>
      <c r="V3" s="4"/>
    </row>
    <row r="4" spans="1:22" x14ac:dyDescent="0.35">
      <c r="A4" s="32" t="s">
        <v>208</v>
      </c>
      <c r="R4" s="76"/>
      <c r="S4" s="54" t="s">
        <v>79</v>
      </c>
      <c r="T4" s="54">
        <f>CHOOSE(MATCH(E211,S1:S13,0),1,2,3,4,5,6,7,8,9,10,11,12,13)</f>
        <v>13</v>
      </c>
      <c r="U4" s="54" t="b">
        <f>IF(AND(T4&gt;12,T5&gt;12,T6&gt;12),TRUE,FALSE)</f>
        <v>1</v>
      </c>
    </row>
    <row r="5" spans="1:22" ht="15.75" customHeight="1" thickBot="1" x14ac:dyDescent="0.4">
      <c r="D5" s="471" t="str">
        <f>year-3 &amp; " Accounting Statement"</f>
        <v>2018 Accounting Statement</v>
      </c>
      <c r="E5" s="471"/>
      <c r="F5" s="471"/>
      <c r="G5" s="77"/>
      <c r="H5" s="472" t="str">
        <f>year-2 &amp; " Accounting Statement"</f>
        <v>2019 Accounting Statement</v>
      </c>
      <c r="I5" s="471"/>
      <c r="J5" s="471"/>
      <c r="K5" s="78"/>
      <c r="R5" s="76"/>
      <c r="S5" s="54" t="s">
        <v>80</v>
      </c>
      <c r="T5" s="54">
        <f>CHOOSE(MATCH(E213,S1:S13,0),1,2,3,4,5,6,7,8,9,10,11,12,13)</f>
        <v>13</v>
      </c>
    </row>
    <row r="6" spans="1:22" ht="15" thickTop="1" x14ac:dyDescent="0.35">
      <c r="B6" s="9" t="s">
        <v>291</v>
      </c>
      <c r="G6" s="79"/>
      <c r="H6" s="79"/>
      <c r="I6" s="65"/>
      <c r="J6" s="65"/>
      <c r="R6" s="76"/>
      <c r="S6" s="54" t="s">
        <v>81</v>
      </c>
      <c r="T6" s="54">
        <f>CHOOSE(MATCH(E215,S1:S13,0),1,2,3,4,5,6,7,8,9,10,11,12,13)</f>
        <v>13</v>
      </c>
    </row>
    <row r="7" spans="1:22" ht="15" thickBot="1" x14ac:dyDescent="0.4">
      <c r="B7" s="9" t="s">
        <v>292</v>
      </c>
      <c r="G7" s="79"/>
      <c r="H7" s="79"/>
      <c r="I7" s="65"/>
      <c r="J7" s="65"/>
      <c r="R7" s="76"/>
      <c r="S7" s="54" t="s">
        <v>82</v>
      </c>
    </row>
    <row r="8" spans="1:22" ht="15" thickBot="1" x14ac:dyDescent="0.4">
      <c r="B8" s="7" t="s">
        <v>296</v>
      </c>
      <c r="E8" s="137">
        <v>0</v>
      </c>
      <c r="F8" s="81"/>
      <c r="G8" s="79"/>
      <c r="H8" s="79"/>
      <c r="I8" s="80"/>
      <c r="J8" s="81"/>
      <c r="R8" s="76"/>
      <c r="S8" s="54" t="s">
        <v>83</v>
      </c>
    </row>
    <row r="9" spans="1:22" ht="15" thickBot="1" x14ac:dyDescent="0.4">
      <c r="B9" s="7" t="s">
        <v>297</v>
      </c>
      <c r="E9" s="137">
        <v>0</v>
      </c>
      <c r="F9" s="81"/>
      <c r="G9" s="79"/>
      <c r="H9" s="79"/>
      <c r="I9" s="80"/>
      <c r="J9" s="81"/>
      <c r="R9" s="76"/>
      <c r="S9" s="54" t="s">
        <v>84</v>
      </c>
    </row>
    <row r="10" spans="1:22" ht="15" thickBot="1" x14ac:dyDescent="0.4">
      <c r="B10" s="9" t="s">
        <v>293</v>
      </c>
      <c r="G10" s="79"/>
      <c r="H10" s="79"/>
      <c r="I10" s="65"/>
      <c r="J10" s="65"/>
      <c r="R10" s="76"/>
      <c r="S10" s="54" t="s">
        <v>85</v>
      </c>
    </row>
    <row r="11" spans="1:22" ht="15" thickBot="1" x14ac:dyDescent="0.4">
      <c r="B11" s="7" t="s">
        <v>296</v>
      </c>
      <c r="E11" s="137">
        <v>0</v>
      </c>
      <c r="F11" s="81"/>
      <c r="G11" s="79"/>
      <c r="H11" s="79"/>
      <c r="I11" s="82"/>
      <c r="J11" s="65"/>
      <c r="R11" s="76"/>
      <c r="S11" s="54" t="s">
        <v>86</v>
      </c>
    </row>
    <row r="12" spans="1:22" ht="15" thickBot="1" x14ac:dyDescent="0.4">
      <c r="B12" s="7" t="s">
        <v>297</v>
      </c>
      <c r="E12" s="137">
        <v>0</v>
      </c>
      <c r="F12" s="81"/>
      <c r="G12" s="79"/>
      <c r="H12" s="79"/>
      <c r="I12" s="82"/>
      <c r="J12" s="65"/>
      <c r="R12" s="76"/>
      <c r="S12" s="54" t="s">
        <v>87</v>
      </c>
    </row>
    <row r="13" spans="1:22" ht="15" thickBot="1" x14ac:dyDescent="0.4">
      <c r="B13" s="9" t="s">
        <v>294</v>
      </c>
      <c r="G13" s="79"/>
      <c r="H13" s="79"/>
      <c r="I13" s="65"/>
      <c r="J13" s="65"/>
      <c r="R13" s="76"/>
      <c r="S13" s="54" t="s">
        <v>75</v>
      </c>
    </row>
    <row r="14" spans="1:22" ht="15" thickBot="1" x14ac:dyDescent="0.4">
      <c r="B14" s="7" t="s">
        <v>296</v>
      </c>
      <c r="E14" s="48">
        <v>0</v>
      </c>
      <c r="G14" s="79"/>
      <c r="H14" s="79"/>
      <c r="I14" s="82"/>
      <c r="J14" s="65"/>
      <c r="R14" s="76"/>
      <c r="S14" s="206"/>
    </row>
    <row r="15" spans="1:22" ht="15" thickBot="1" x14ac:dyDescent="0.4">
      <c r="B15" s="7" t="s">
        <v>297</v>
      </c>
      <c r="E15" s="48">
        <v>0</v>
      </c>
      <c r="G15" s="79"/>
      <c r="H15" s="79"/>
      <c r="I15" s="82"/>
      <c r="J15" s="65"/>
      <c r="R15" s="76"/>
      <c r="S15" s="206"/>
    </row>
    <row r="16" spans="1:22" ht="15" thickBot="1" x14ac:dyDescent="0.4">
      <c r="B16" s="9" t="s">
        <v>295</v>
      </c>
      <c r="E16" s="48">
        <v>0</v>
      </c>
      <c r="G16" s="79"/>
      <c r="H16" s="79"/>
      <c r="I16" s="82"/>
      <c r="J16" s="65"/>
      <c r="R16" s="76"/>
      <c r="S16" s="206"/>
    </row>
    <row r="17" spans="1:19" ht="15" thickBot="1" x14ac:dyDescent="0.4">
      <c r="B17" s="7"/>
      <c r="G17" s="79"/>
      <c r="H17" s="79"/>
      <c r="I17" s="65"/>
      <c r="J17" s="65"/>
      <c r="R17" s="76"/>
      <c r="S17" s="206"/>
    </row>
    <row r="18" spans="1:19" ht="15" thickBot="1" x14ac:dyDescent="0.4">
      <c r="B18" s="9" t="s">
        <v>298</v>
      </c>
      <c r="G18" s="79"/>
      <c r="H18" s="79"/>
      <c r="I18" s="82"/>
      <c r="J18" s="65"/>
      <c r="R18" s="76"/>
      <c r="S18" s="206"/>
    </row>
    <row r="19" spans="1:19" ht="15" thickBot="1" x14ac:dyDescent="0.4">
      <c r="B19" s="7"/>
      <c r="G19" s="79"/>
      <c r="H19" s="79"/>
      <c r="I19" s="65"/>
      <c r="J19" s="65"/>
      <c r="R19" s="76"/>
      <c r="S19" s="206"/>
    </row>
    <row r="20" spans="1:19" ht="15" thickBot="1" x14ac:dyDescent="0.4">
      <c r="B20" s="9" t="s">
        <v>299</v>
      </c>
      <c r="G20" s="79"/>
      <c r="H20" s="79"/>
      <c r="I20" s="82"/>
      <c r="J20" s="65"/>
      <c r="R20" s="76"/>
      <c r="S20" s="206"/>
    </row>
    <row r="21" spans="1:19" x14ac:dyDescent="0.35">
      <c r="R21" s="76"/>
      <c r="S21" s="206"/>
    </row>
    <row r="22" spans="1:19" ht="15.75" customHeight="1" x14ac:dyDescent="0.35">
      <c r="A22" s="32" t="str">
        <f>"2. Reconcile your " &amp; year-3 &amp; " and " &amp; year-2 &amp; " Premium Income"</f>
        <v>2. Reconcile your 2018 and 2019 Premium Income</v>
      </c>
      <c r="R22" s="76"/>
      <c r="S22" s="206"/>
    </row>
    <row r="23" spans="1:19" ht="15.75" customHeight="1" x14ac:dyDescent="0.35">
      <c r="R23" s="76"/>
      <c r="S23" s="206"/>
    </row>
    <row r="24" spans="1:19" ht="15.75" customHeight="1" x14ac:dyDescent="0.35">
      <c r="C24" s="83" t="s">
        <v>26</v>
      </c>
      <c r="D24" s="16" t="s">
        <v>74</v>
      </c>
      <c r="F24" s="473" t="s">
        <v>29</v>
      </c>
      <c r="G24" s="473"/>
      <c r="H24" s="83" t="s">
        <v>32</v>
      </c>
    </row>
    <row r="25" spans="1:19" ht="15.75" customHeight="1" x14ac:dyDescent="0.35">
      <c r="C25" s="84" t="s">
        <v>27</v>
      </c>
      <c r="D25" s="84" t="s">
        <v>28</v>
      </c>
      <c r="F25" s="85" t="s">
        <v>30</v>
      </c>
      <c r="G25" s="85" t="s">
        <v>31</v>
      </c>
      <c r="H25" s="86" t="s">
        <v>28</v>
      </c>
    </row>
    <row r="26" spans="1:19" ht="15.75" customHeight="1" x14ac:dyDescent="0.35">
      <c r="C26" s="84"/>
      <c r="D26" s="84"/>
      <c r="F26" s="84"/>
      <c r="G26" s="84"/>
      <c r="H26" s="84"/>
    </row>
    <row r="27" spans="1:19" ht="15.75" customHeight="1" x14ac:dyDescent="0.35">
      <c r="A27" s="32" t="str">
        <f>year - 3 &amp; ":"</f>
        <v>2018:</v>
      </c>
      <c r="B27" s="54" t="s">
        <v>33</v>
      </c>
      <c r="C27" s="138">
        <v>0</v>
      </c>
      <c r="D27" s="139">
        <v>0</v>
      </c>
      <c r="E27" s="90" t="s">
        <v>36</v>
      </c>
      <c r="F27" s="56">
        <f>$C27*26*$D27</f>
        <v>0</v>
      </c>
      <c r="H27" s="91">
        <v>0</v>
      </c>
    </row>
    <row r="28" spans="1:19" ht="15.75" customHeight="1" x14ac:dyDescent="0.35">
      <c r="A28" s="32"/>
      <c r="B28" s="54" t="s">
        <v>190</v>
      </c>
      <c r="C28" s="138">
        <v>0</v>
      </c>
      <c r="D28" s="139">
        <v>0</v>
      </c>
      <c r="E28" s="399" t="s">
        <v>36</v>
      </c>
      <c r="F28" s="56">
        <f>$C28*26*$D28</f>
        <v>0</v>
      </c>
      <c r="H28" s="91">
        <v>0</v>
      </c>
    </row>
    <row r="29" spans="1:19" ht="15.75" customHeight="1" thickBot="1" x14ac:dyDescent="0.4">
      <c r="B29" s="54" t="s">
        <v>34</v>
      </c>
      <c r="C29" s="138">
        <v>0</v>
      </c>
      <c r="D29" s="139">
        <v>0</v>
      </c>
      <c r="E29" s="90" t="s">
        <v>36</v>
      </c>
      <c r="F29" s="92">
        <f>$C29*26*$D29</f>
        <v>0</v>
      </c>
      <c r="G29" s="71"/>
      <c r="H29" s="93">
        <v>0</v>
      </c>
    </row>
    <row r="30" spans="1:19" ht="15.75" customHeight="1" x14ac:dyDescent="0.35">
      <c r="B30" s="32" t="s">
        <v>35</v>
      </c>
      <c r="D30" s="94">
        <f>SUM(D27:D29)</f>
        <v>0</v>
      </c>
      <c r="E30" s="90"/>
      <c r="F30" s="95">
        <f>SUM(F27:F29)</f>
        <v>0</v>
      </c>
      <c r="G30" s="96">
        <f>E8-E11+E14</f>
        <v>0</v>
      </c>
      <c r="H30" s="94">
        <v>0</v>
      </c>
    </row>
    <row r="31" spans="1:19" ht="3" customHeight="1" thickBot="1" x14ac:dyDescent="0.4">
      <c r="E31" s="90"/>
    </row>
    <row r="32" spans="1:19" ht="15.75" customHeight="1" thickBot="1" x14ac:dyDescent="0.4">
      <c r="A32" s="32" t="str">
        <f>year - 2 &amp; ":"</f>
        <v>2019:</v>
      </c>
      <c r="B32" s="54" t="s">
        <v>33</v>
      </c>
      <c r="C32" s="88"/>
      <c r="D32" s="89"/>
      <c r="E32" s="90" t="s">
        <v>37</v>
      </c>
      <c r="F32" s="56">
        <f>$C32*26*$D32</f>
        <v>0</v>
      </c>
      <c r="H32" s="97" t="e">
        <f>ROUND($D32*($G$35/$F$35),0)</f>
        <v>#DIV/0!</v>
      </c>
    </row>
    <row r="33" spans="1:12" ht="15.75" customHeight="1" thickBot="1" x14ac:dyDescent="0.4">
      <c r="A33" s="32"/>
      <c r="B33" s="54" t="s">
        <v>190</v>
      </c>
      <c r="C33" s="88"/>
      <c r="D33" s="89"/>
      <c r="E33" s="273" t="s">
        <v>37</v>
      </c>
      <c r="F33" s="56">
        <f>$C33*26*$D33</f>
        <v>0</v>
      </c>
      <c r="H33" s="97" t="e">
        <f>ROUND($D33*($G$35/$F$35),0)</f>
        <v>#DIV/0!</v>
      </c>
    </row>
    <row r="34" spans="1:12" ht="15.75" customHeight="1" thickBot="1" x14ac:dyDescent="0.4">
      <c r="B34" s="54" t="s">
        <v>34</v>
      </c>
      <c r="C34" s="88"/>
      <c r="D34" s="89"/>
      <c r="E34" s="90" t="s">
        <v>37</v>
      </c>
      <c r="F34" s="92">
        <f>$C34*26*$D34</f>
        <v>0</v>
      </c>
      <c r="G34" s="71"/>
      <c r="H34" s="99" t="e">
        <f>ROUND($D34*(G35/F35),0)</f>
        <v>#DIV/0!</v>
      </c>
    </row>
    <row r="35" spans="1:12" ht="15.75" customHeight="1" x14ac:dyDescent="0.35">
      <c r="B35" s="32" t="s">
        <v>35</v>
      </c>
      <c r="D35" s="94">
        <f>SUM(D32:D34)</f>
        <v>0</v>
      </c>
      <c r="F35" s="95">
        <f>SUM(F32:F34)</f>
        <v>0</v>
      </c>
      <c r="G35" s="96">
        <f>I8-I11+I14</f>
        <v>0</v>
      </c>
      <c r="H35" s="94" t="e">
        <f>SUM(H32:H34)</f>
        <v>#DIV/0!</v>
      </c>
      <c r="K35" s="225"/>
      <c r="L35" s="4"/>
    </row>
    <row r="36" spans="1:12" ht="3" customHeight="1" thickBot="1" x14ac:dyDescent="0.4">
      <c r="H36" s="97"/>
      <c r="K36" s="225"/>
      <c r="L36" s="4"/>
    </row>
    <row r="37" spans="1:12" ht="15.75" customHeight="1" thickBot="1" x14ac:dyDescent="0.4">
      <c r="A37" s="32" t="str">
        <f>year - 1 &amp; ":"</f>
        <v>2020:</v>
      </c>
      <c r="B37" s="54" t="s">
        <v>33</v>
      </c>
      <c r="C37" s="88"/>
      <c r="D37" s="89"/>
      <c r="E37" s="90" t="s">
        <v>37</v>
      </c>
      <c r="F37" s="56">
        <f>$C37*26*$D37</f>
        <v>0</v>
      </c>
      <c r="H37" s="97">
        <f>D37</f>
        <v>0</v>
      </c>
      <c r="K37" s="226"/>
      <c r="L37" s="4"/>
    </row>
    <row r="38" spans="1:12" ht="15.75" customHeight="1" thickBot="1" x14ac:dyDescent="0.4">
      <c r="A38" s="32"/>
      <c r="B38" s="54" t="s">
        <v>190</v>
      </c>
      <c r="C38" s="88"/>
      <c r="D38" s="89"/>
      <c r="E38" s="248" t="s">
        <v>37</v>
      </c>
      <c r="F38" s="56">
        <f>$C38*26*$D38</f>
        <v>0</v>
      </c>
      <c r="H38" s="97">
        <f>D38</f>
        <v>0</v>
      </c>
      <c r="K38" s="226"/>
      <c r="L38" s="4"/>
    </row>
    <row r="39" spans="1:12" ht="15.75" customHeight="1" thickBot="1" x14ac:dyDescent="0.4">
      <c r="B39" s="54" t="s">
        <v>34</v>
      </c>
      <c r="C39" s="88"/>
      <c r="D39" s="89"/>
      <c r="E39" s="90" t="s">
        <v>37</v>
      </c>
      <c r="F39" s="92">
        <f>$C39*26*$D39</f>
        <v>0</v>
      </c>
      <c r="G39" s="71"/>
      <c r="H39" s="99">
        <f>D39</f>
        <v>0</v>
      </c>
      <c r="K39" s="225"/>
      <c r="L39" s="4"/>
    </row>
    <row r="40" spans="1:12" ht="15.75" customHeight="1" x14ac:dyDescent="0.35">
      <c r="B40" s="32" t="s">
        <v>35</v>
      </c>
      <c r="C40" s="7"/>
      <c r="D40" s="94">
        <f>SUM(D37:D39)</f>
        <v>0</v>
      </c>
      <c r="F40" s="95">
        <f>SUM(F37:F39)</f>
        <v>0</v>
      </c>
      <c r="G40" s="95">
        <f>F40</f>
        <v>0</v>
      </c>
      <c r="H40" s="94">
        <f>SUM(H37:H39)</f>
        <v>0</v>
      </c>
      <c r="K40" s="225"/>
      <c r="L40" s="4"/>
    </row>
    <row r="41" spans="1:12" ht="3" customHeight="1" thickBot="1" x14ac:dyDescent="0.4">
      <c r="C41" s="7"/>
      <c r="H41" s="97"/>
      <c r="K41" s="225"/>
      <c r="L41" s="4"/>
    </row>
    <row r="42" spans="1:12" ht="15.75" customHeight="1" thickBot="1" x14ac:dyDescent="0.4">
      <c r="A42" s="32" t="s">
        <v>38</v>
      </c>
      <c r="B42" s="54" t="s">
        <v>33</v>
      </c>
      <c r="C42" s="88"/>
      <c r="D42" s="89"/>
      <c r="E42" s="90" t="s">
        <v>37</v>
      </c>
      <c r="F42" s="56">
        <f>$C42*26*$D42</f>
        <v>0</v>
      </c>
      <c r="H42" s="97"/>
      <c r="K42" s="225"/>
      <c r="L42" s="4"/>
    </row>
    <row r="43" spans="1:12" ht="15.75" customHeight="1" thickBot="1" x14ac:dyDescent="0.4">
      <c r="A43" s="32" t="str">
        <f>year &amp; ":"</f>
        <v>2021:</v>
      </c>
      <c r="B43" s="54" t="s">
        <v>190</v>
      </c>
      <c r="C43" s="88"/>
      <c r="D43" s="263"/>
      <c r="E43" s="220" t="s">
        <v>37</v>
      </c>
      <c r="F43" s="56">
        <f>$C43*26*$D43</f>
        <v>0</v>
      </c>
      <c r="H43" s="97"/>
      <c r="K43" s="228"/>
      <c r="L43" s="211"/>
    </row>
    <row r="44" spans="1:12" ht="15.75" customHeight="1" thickBot="1" x14ac:dyDescent="0.4">
      <c r="B44" s="54" t="s">
        <v>34</v>
      </c>
      <c r="C44" s="88"/>
      <c r="D44" s="89"/>
      <c r="E44" s="90" t="s">
        <v>37</v>
      </c>
      <c r="F44" s="92">
        <f>$C44*26*$D44</f>
        <v>0</v>
      </c>
      <c r="G44" s="71"/>
      <c r="H44" s="99"/>
      <c r="K44" s="229"/>
      <c r="L44" s="4"/>
    </row>
    <row r="45" spans="1:12" ht="15.75" customHeight="1" x14ac:dyDescent="0.35">
      <c r="B45" s="32" t="s">
        <v>35</v>
      </c>
      <c r="D45" s="94">
        <f>SUM(D42:D44)</f>
        <v>0</v>
      </c>
      <c r="F45" s="95">
        <f>SUM(F42:F44)</f>
        <v>0</v>
      </c>
      <c r="H45" s="97"/>
    </row>
    <row r="46" spans="1:12" s="7" customFormat="1" ht="15.75" customHeight="1" x14ac:dyDescent="0.35">
      <c r="B46" s="9"/>
      <c r="D46" s="24"/>
      <c r="F46" s="25"/>
      <c r="H46" s="27"/>
    </row>
    <row r="47" spans="1:12" s="7" customFormat="1" ht="15.75" customHeight="1" thickBot="1" x14ac:dyDescent="0.4">
      <c r="A47" s="9" t="str">
        <f>"3. The table below can be used to estimate the "&amp;year&amp;" Enrollee Contribution. Please see the 'Help' sheet for more details."</f>
        <v>3. The table below can be used to estimate the 2021 Enrollee Contribution. Please see the 'Help' sheet for more details.</v>
      </c>
      <c r="B47" s="9"/>
      <c r="D47" s="24"/>
      <c r="F47" s="25"/>
      <c r="H47" s="27"/>
      <c r="I47" s="266"/>
      <c r="J47" s="268"/>
    </row>
    <row r="48" spans="1:12" s="7" customFormat="1" ht="15.75" customHeight="1" thickBot="1" x14ac:dyDescent="0.4">
      <c r="A48" s="9"/>
      <c r="B48" s="8"/>
      <c r="C48" s="8"/>
      <c r="D48" s="8" t="s">
        <v>336</v>
      </c>
      <c r="E48" s="315" t="s">
        <v>334</v>
      </c>
      <c r="F48" s="25"/>
      <c r="H48" s="27"/>
      <c r="I48" s="266"/>
      <c r="J48" s="268"/>
    </row>
    <row r="49" spans="1:14" s="7" customFormat="1" ht="15.75" customHeight="1" x14ac:dyDescent="0.35">
      <c r="A49" s="9"/>
      <c r="B49" s="9"/>
      <c r="D49" s="24"/>
      <c r="F49" s="25"/>
      <c r="H49" s="27"/>
      <c r="I49" s="266"/>
      <c r="J49" s="268"/>
    </row>
    <row r="50" spans="1:14" s="7" customFormat="1" ht="15.75" customHeight="1" thickBot="1" x14ac:dyDescent="0.4">
      <c r="A50" s="4"/>
      <c r="B50" s="9" t="str">
        <f>"For "&amp;year-1&amp;", the Government Contribution is the lesser of:"</f>
        <v>For 2020, the Government Contribution is the lesser of:</v>
      </c>
      <c r="D50" s="24"/>
      <c r="F50" s="9" t="str">
        <f>"For "&amp;year&amp;", the Government Contribution is the lesser of:"</f>
        <v>For 2021, the Government Contribution is the lesser of:</v>
      </c>
      <c r="H50" s="4"/>
      <c r="I50" s="292"/>
      <c r="J50" s="293"/>
    </row>
    <row r="51" spans="1:14" s="7" customFormat="1" ht="15.75" customHeight="1" thickBot="1" x14ac:dyDescent="0.4">
      <c r="A51" s="4"/>
      <c r="B51" s="287">
        <v>0.75</v>
      </c>
      <c r="C51" s="7" t="s">
        <v>206</v>
      </c>
      <c r="D51" s="24"/>
      <c r="F51" s="287">
        <v>0.75</v>
      </c>
      <c r="G51" s="7" t="s">
        <v>206</v>
      </c>
      <c r="H51" s="4"/>
      <c r="I51" s="292"/>
      <c r="J51" s="293"/>
    </row>
    <row r="52" spans="1:14" s="7" customFormat="1" ht="15.75" customHeight="1" thickBot="1" x14ac:dyDescent="0.4">
      <c r="A52" s="4"/>
      <c r="B52" s="288">
        <v>0.72</v>
      </c>
      <c r="C52" s="7" t="s">
        <v>207</v>
      </c>
      <c r="D52" s="24"/>
      <c r="F52" s="288">
        <v>0.72</v>
      </c>
      <c r="G52" s="7" t="s">
        <v>207</v>
      </c>
      <c r="H52" s="4"/>
      <c r="I52" s="293"/>
      <c r="J52" s="293"/>
    </row>
    <row r="53" spans="1:14" s="7" customFormat="1" ht="15.75" customHeight="1" x14ac:dyDescent="0.35">
      <c r="A53" s="354"/>
      <c r="B53" s="210"/>
      <c r="C53" s="290"/>
      <c r="D53" s="210"/>
      <c r="E53" s="354"/>
      <c r="F53" s="210"/>
      <c r="G53" s="4"/>
      <c r="H53" s="4"/>
      <c r="I53" s="293"/>
      <c r="J53" s="293"/>
    </row>
    <row r="54" spans="1:14" s="7" customFormat="1" ht="15.75" customHeight="1" x14ac:dyDescent="0.35">
      <c r="A54" s="449"/>
      <c r="B54" s="450" t="s">
        <v>203</v>
      </c>
      <c r="C54" s="451" t="str">
        <f>"Est. "&amp;year&amp;" Max. Gov't Contrib."</f>
        <v>Est. 2021 Max. Gov't Contrib.</v>
      </c>
      <c r="D54" s="451" t="str">
        <f>"Est. "&amp;year&amp;" Gov't Contribution"</f>
        <v>Est. 2021 Gov't Contribution</v>
      </c>
      <c r="E54" s="451" t="str">
        <f>year-1&amp;" Enrollee Contribution"</f>
        <v>2020 Enrollee Contribution</v>
      </c>
      <c r="F54" s="451" t="str">
        <f>"Est. "&amp;year&amp;" Enrollee Contribution"</f>
        <v>Est. 2021 Enrollee Contribution</v>
      </c>
      <c r="G54" s="474" t="s">
        <v>198</v>
      </c>
      <c r="H54" s="291"/>
      <c r="I54" s="441" t="str">
        <f ca="1">"NOTE: The non-Postal and annuitant Government Contribution formula of 75% and 72% has been input in cells "&amp;MID(CELL("address", B51), 2, 1)&amp;RIGHT(CELL("address", B51),2)&amp;"-"&amp;MID(CELL("address", B52), 2, 1)&amp;RIGHT(CELL("address", B52),2)&amp;" and "&amp;MID(CELL("address", F51), 2, 1)&amp;RIGHT(CELL("address", F51),2)&amp;"-"&amp;MID(CELL("address", F52), 2, 1)&amp;RIGHT(CELL("address", F52),2)&amp;", but can be changed to make estimations for different contribution formulas."</f>
        <v>NOTE: The non-Postal and annuitant Government Contribution formula of 75% and 72% has been input in cells B51-B52 and F51-F52, but can be changed to make estimations for different contribution formulas.</v>
      </c>
      <c r="J54" s="442"/>
    </row>
    <row r="55" spans="1:14" s="7" customFormat="1" ht="15.75" customHeight="1" thickBot="1" x14ac:dyDescent="0.4">
      <c r="A55" s="449"/>
      <c r="B55" s="450"/>
      <c r="C55" s="451"/>
      <c r="D55" s="451"/>
      <c r="E55" s="451"/>
      <c r="F55" s="451"/>
      <c r="G55" s="475"/>
      <c r="H55" s="291"/>
      <c r="I55" s="443"/>
      <c r="J55" s="444"/>
    </row>
    <row r="56" spans="1:14" s="7" customFormat="1" ht="15.75" customHeight="1" thickBot="1" x14ac:dyDescent="0.4">
      <c r="A56" s="278" t="s">
        <v>33</v>
      </c>
      <c r="B56" s="289">
        <v>0</v>
      </c>
      <c r="C56" s="279">
        <f>IF($E$48="Bi-Weekly", ROUND(ROUND(GovtMaxS*$F$52,2)*(1+B56), 2), ROUND(ROUND(ROUND(GovtMaxS*$F$52,2)*(1+B56), 2)*26/12, 2))</f>
        <v>235.77</v>
      </c>
      <c r="D56" s="277">
        <f>IF($E$48="Bi-Weekly", ROUND(MIN(C56, ROUND(C42*1.04, 2)*$F$51),2), ROUND(MIN(C56, ROUND(ROUND(C42*1.04, 2)*(26/12),2)*$F$51),2))</f>
        <v>0</v>
      </c>
      <c r="E56" s="277">
        <f>IF($E$48="Bi-Weekly",ROUND(C37*1.04,2)-MIN(ROUND(GovtMaxS*$B$52,2),ROUND(ROUND(C37*1.04,2)*$B$51,2)),ROUND(ROUND(C37*1.04,2)*26/12,2)-MIN(ROUND(ROUND(GovtMaxS*$B$52,2)*26/12, 2),ROUND(ROUND(ROUND(C37*1.04,2)*26/12,2)*$B$51,2)))</f>
        <v>0</v>
      </c>
      <c r="F56" s="277">
        <f>IF($E$48="Bi-Weekly",ROUND(C42*1.04, 2)-D56,ROUND(ROUND(C42*1.04,2)*26/12,2)-D56)</f>
        <v>0</v>
      </c>
      <c r="G56" s="336" t="e">
        <f>F56/E56-1</f>
        <v>#DIV/0!</v>
      </c>
      <c r="H56" s="291"/>
      <c r="I56" s="443"/>
      <c r="J56" s="444"/>
    </row>
    <row r="57" spans="1:14" s="7" customFormat="1" ht="15.75" customHeight="1" thickBot="1" x14ac:dyDescent="0.4">
      <c r="A57" s="278" t="s">
        <v>190</v>
      </c>
      <c r="B57" s="289">
        <v>0</v>
      </c>
      <c r="C57" s="279">
        <f>IF($E$48="Bi-Weekly", ROUND(ROUND(GovtMaxP*$F$52,2)*(1+B57), 2), ROUND(ROUND(ROUND(GovtMaxP*$F$52,2)*(1+B57), 2)*26/12, 2))</f>
        <v>504.12</v>
      </c>
      <c r="D57" s="277">
        <f>IF($E$48="Bi-Weekly", ROUND(MIN(C57, ROUND(C43*1.04, 2)*$F$51),2), ROUND(MIN(C57, ROUND(ROUND(C43*1.04, 2)*(26/12),2)*$F$51),2))</f>
        <v>0</v>
      </c>
      <c r="E57" s="277">
        <f>IF($E$48="Bi-Weekly",ROUND(C38*1.04,2)-MIN(ROUND(GovtMaxP*$B$52,2),ROUND(ROUND(C38*1.04,2)*$B$51,2)),ROUND(ROUND(C38*1.04,2)*26/12,2)-MIN(ROUND(ROUND(GovtMaxP*$B$52,2)*26/12, 2),ROUND(ROUND(ROUND(C38*1.04,2)*26/12,2)*$B$51,2)))</f>
        <v>0</v>
      </c>
      <c r="F57" s="277">
        <f>IF($E$48="Bi-Weekly",ROUND(C43*1.04, 2)-D57,ROUND(ROUND(C43*1.04,2)*26/12,2)-D57)</f>
        <v>0</v>
      </c>
      <c r="G57" s="336" t="e">
        <f>F57/E57-1</f>
        <v>#DIV/0!</v>
      </c>
      <c r="H57" s="291"/>
      <c r="I57" s="443"/>
      <c r="J57" s="444"/>
      <c r="M57" s="4"/>
      <c r="N57" s="4"/>
    </row>
    <row r="58" spans="1:14" s="7" customFormat="1" ht="15.75" customHeight="1" thickBot="1" x14ac:dyDescent="0.4">
      <c r="A58" s="278" t="s">
        <v>34</v>
      </c>
      <c r="B58" s="289">
        <v>0</v>
      </c>
      <c r="C58" s="279">
        <f>IF($E$48="Bi-Weekly", ROUND(ROUND(GovtMaxF*$F$52,2)*(1+B58), 2), ROUND(ROUND(ROUND(GovtMaxF*$F$52,2)*(1+B58), 2)*26/12, 2))</f>
        <v>546.47</v>
      </c>
      <c r="D58" s="277">
        <f>IF($E$48="Bi-Weekly", ROUND(MIN(C58, ROUND(C44*1.04, 2)*$F$51),2), ROUND(MIN(C58, ROUND(ROUND(C44*1.04, 2)*(26/12),2)*$F$51),2))</f>
        <v>0</v>
      </c>
      <c r="E58" s="277">
        <f>IF($E$48="Bi-Weekly",ROUND(C39*1.04,2)-MIN(ROUND(GovtMaxF*$B$52,2),ROUND(ROUND(C39*1.04,2)*$B$51,2)),ROUND(ROUND(C39*1.04,2)*26/12,2)-MIN(ROUND(ROUND(GovtMaxF*$B$52,2)*26/12, 2),ROUND(ROUND(ROUND(C39*1.04,2)*26/12,2)*$B$51,2)))</f>
        <v>0</v>
      </c>
      <c r="F58" s="277">
        <f>IF($E$48="Bi-Weekly",ROUND(C44*1.04, 2)-D58,ROUND(ROUND(C44*1.04,2)*26/12,2)-D58)</f>
        <v>0</v>
      </c>
      <c r="G58" s="336" t="e">
        <f>F58/E58-1</f>
        <v>#DIV/0!</v>
      </c>
      <c r="H58" s="225"/>
      <c r="I58" s="443"/>
      <c r="J58" s="444"/>
      <c r="M58" s="4"/>
      <c r="N58" s="4"/>
    </row>
    <row r="59" spans="1:14" s="7" customFormat="1" ht="15.75" customHeight="1" x14ac:dyDescent="0.35">
      <c r="A59" s="278"/>
      <c r="B59" s="476" t="str">
        <f ca="1">"** The estimated increase to the maximum Government Contribution should be based on the assumption of the Government Contribution formula remaining the same year over year.  The impact of any change in the Government Contribution formula (cells "&amp;MID(CELL("address", B51), 2, 1)&amp;RIGHT(CELL("address", B51),2)&amp;"-"&amp;MID(CELL("address", B52), 2, 1)&amp;RIGHT(CELL("address", B52),2)&amp;" and "&amp;MID(CELL("address", F51), 2, 1)&amp;RIGHT(CELL("address", F51),2)&amp;"-"&amp;MID(CELL("address", F52), 2, 1)&amp;RIGHT(CELL("address", F52),2)&amp;") is already reflected in our calculations."</f>
        <v>** The estimated increase to the maximum Government Contribution should be based on the assumption of the Government Contribution formula remaining the same year over year.  The impact of any change in the Government Contribution formula (cells B51-B52 and F51-F52) is already reflected in our calculations.</v>
      </c>
      <c r="C59" s="476"/>
      <c r="D59" s="476"/>
      <c r="E59" s="476"/>
      <c r="F59" s="476"/>
      <c r="G59" s="476"/>
      <c r="H59" s="225"/>
      <c r="I59" s="443"/>
      <c r="J59" s="444"/>
      <c r="M59" s="227"/>
      <c r="N59" s="4"/>
    </row>
    <row r="60" spans="1:14" s="7" customFormat="1" ht="15.75" customHeight="1" x14ac:dyDescent="0.35">
      <c r="A60" s="278"/>
      <c r="B60" s="476"/>
      <c r="C60" s="476"/>
      <c r="D60" s="476"/>
      <c r="E60" s="476"/>
      <c r="F60" s="476"/>
      <c r="G60" s="476"/>
      <c r="H60" s="225"/>
      <c r="I60" s="445"/>
      <c r="J60" s="446"/>
      <c r="M60" s="227"/>
      <c r="N60" s="4"/>
    </row>
    <row r="61" spans="1:14" s="7" customFormat="1" ht="15.75" customHeight="1" x14ac:dyDescent="0.35">
      <c r="B61" s="476"/>
      <c r="C61" s="476"/>
      <c r="D61" s="476"/>
      <c r="E61" s="476"/>
      <c r="F61" s="476"/>
      <c r="G61" s="476"/>
      <c r="M61" s="233"/>
      <c r="N61" s="4"/>
    </row>
    <row r="62" spans="1:14" s="7" customFormat="1" ht="15.75" customHeight="1" x14ac:dyDescent="0.35">
      <c r="A62" s="9" t="s">
        <v>209</v>
      </c>
      <c r="M62" s="233"/>
      <c r="N62" s="4"/>
    </row>
    <row r="63" spans="1:14" ht="15.75" customHeight="1" x14ac:dyDescent="0.35">
      <c r="A63" s="32" t="str">
        <f>"   (a) As of 12/31/" &amp; year-2 &amp; " what were the total claims paid to date for services incurred in each of the following years? "</f>
        <v xml:space="preserve">   (a) As of 12/31/2019 what were the total claims paid to date for services incurred in each of the following years? </v>
      </c>
      <c r="M63" s="4"/>
      <c r="N63" s="4"/>
    </row>
    <row r="64" spans="1:14" ht="15.75" customHeight="1" thickBot="1" x14ac:dyDescent="0.4">
      <c r="M64" s="227"/>
      <c r="N64" s="227"/>
    </row>
    <row r="65" spans="1:16" ht="15" thickBot="1" x14ac:dyDescent="0.4">
      <c r="B65" s="101">
        <f>year-4</f>
        <v>2017</v>
      </c>
      <c r="C65" s="48">
        <v>0</v>
      </c>
      <c r="D65" s="101">
        <f>year-3</f>
        <v>2018</v>
      </c>
      <c r="E65" s="48">
        <v>0</v>
      </c>
      <c r="F65" s="101">
        <f>year-2</f>
        <v>2019</v>
      </c>
      <c r="G65" s="82"/>
      <c r="M65" s="211"/>
      <c r="N65" s="211"/>
      <c r="P65" s="205"/>
    </row>
    <row r="66" spans="1:16" x14ac:dyDescent="0.35">
      <c r="M66" s="227"/>
      <c r="N66" s="4"/>
      <c r="P66" s="205"/>
    </row>
    <row r="67" spans="1:16" x14ac:dyDescent="0.35">
      <c r="A67" s="32" t="str">
        <f>"   (b) As of 4/30/" &amp; year-1 &amp; " what were the total claims paid in " &amp;year-1&amp; " for services incurred in each of the following years?"</f>
        <v xml:space="preserve">   (b) As of 4/30/2020 what were the total claims paid in 2020 for services incurred in each of the following years?</v>
      </c>
    </row>
    <row r="68" spans="1:16" ht="15" thickBot="1" x14ac:dyDescent="0.4"/>
    <row r="69" spans="1:16" ht="15" thickBot="1" x14ac:dyDescent="0.4">
      <c r="B69" s="32">
        <f>year-4</f>
        <v>2017</v>
      </c>
      <c r="C69" s="48">
        <v>0</v>
      </c>
      <c r="D69" s="32">
        <f>year-3</f>
        <v>2018</v>
      </c>
      <c r="E69" s="48">
        <v>0</v>
      </c>
      <c r="F69" s="32">
        <f>year-2</f>
        <v>2019</v>
      </c>
      <c r="G69" s="82"/>
      <c r="H69" s="32">
        <f>year-1</f>
        <v>2020</v>
      </c>
      <c r="I69" s="82"/>
    </row>
    <row r="71" spans="1:16" x14ac:dyDescent="0.35">
      <c r="A71" s="32" t="s">
        <v>39</v>
      </c>
    </row>
    <row r="72" spans="1:16" ht="15" thickBot="1" x14ac:dyDescent="0.4"/>
    <row r="73" spans="1:16" ht="15" thickBot="1" x14ac:dyDescent="0.4">
      <c r="B73" s="32">
        <f>year-4</f>
        <v>2017</v>
      </c>
      <c r="C73" s="48">
        <v>0</v>
      </c>
      <c r="D73" s="32">
        <f>year-3</f>
        <v>2018</v>
      </c>
      <c r="E73" s="48">
        <v>0</v>
      </c>
      <c r="F73" s="32">
        <f>year-2</f>
        <v>2019</v>
      </c>
      <c r="G73" s="82"/>
    </row>
    <row r="75" spans="1:16" ht="15" customHeight="1" x14ac:dyDescent="0.35">
      <c r="A75" s="32" t="str">
        <f>"   (d) Claims Incurred but Unpaid for years prior to " &amp;year-4&amp; "?"</f>
        <v xml:space="preserve">   (d) Claims Incurred but Unpaid for years prior to 2017?</v>
      </c>
      <c r="E75" s="48">
        <v>0</v>
      </c>
    </row>
    <row r="78" spans="1:16" x14ac:dyDescent="0.35">
      <c r="A78" s="32" t="str">
        <f>"         The portion of these claims that have been paid as of 12/31/" &amp;year-2&amp;":"</f>
        <v xml:space="preserve">         The portion of these claims that have been paid as of 12/31/2019:</v>
      </c>
      <c r="D78" s="102"/>
    </row>
    <row r="80" spans="1:16" x14ac:dyDescent="0.35">
      <c r="B80" s="32">
        <f>year-4</f>
        <v>2017</v>
      </c>
      <c r="C80" s="103">
        <f>1</f>
        <v>1</v>
      </c>
      <c r="D80" s="32">
        <f>year-3</f>
        <v>2018</v>
      </c>
      <c r="E80" s="103">
        <v>1</v>
      </c>
      <c r="F80" s="32">
        <f>year-2</f>
        <v>2019</v>
      </c>
      <c r="G80" s="103" t="e">
        <f>G65/G73</f>
        <v>#DIV/0!</v>
      </c>
    </row>
    <row r="82" spans="1:9" x14ac:dyDescent="0.35">
      <c r="A82" s="32" t="str">
        <f>"         The portion of these claims that have been paid as of 4/30/" &amp;year-1&amp;":"</f>
        <v xml:space="preserve">         The portion of these claims that have been paid as of 4/30/2020:</v>
      </c>
      <c r="D82" s="102"/>
    </row>
    <row r="83" spans="1:9" x14ac:dyDescent="0.35">
      <c r="H83" s="102"/>
    </row>
    <row r="84" spans="1:9" x14ac:dyDescent="0.35">
      <c r="B84" s="32">
        <f>year-4</f>
        <v>2017</v>
      </c>
      <c r="C84" s="103">
        <f>1</f>
        <v>1</v>
      </c>
      <c r="D84" s="32">
        <f>year-3</f>
        <v>2018</v>
      </c>
      <c r="E84" s="103">
        <v>1</v>
      </c>
      <c r="F84" s="32">
        <f>year-2</f>
        <v>2019</v>
      </c>
      <c r="G84" s="103" t="e">
        <f>(G$65+G$69)/G$73</f>
        <v>#DIV/0!</v>
      </c>
    </row>
    <row r="86" spans="1:9" ht="15" thickBot="1" x14ac:dyDescent="0.4">
      <c r="A86" s="432" t="s">
        <v>45</v>
      </c>
      <c r="B86" s="433"/>
      <c r="C86" s="433"/>
      <c r="D86" s="433"/>
      <c r="E86" s="433"/>
      <c r="F86" s="433"/>
      <c r="G86" s="433"/>
      <c r="H86" s="433"/>
      <c r="I86" s="434"/>
    </row>
    <row r="87" spans="1:9" ht="15" thickTop="1" x14ac:dyDescent="0.35">
      <c r="A87" s="464" t="str">
        <f>"Claims in item 10 for "&amp;year-2&amp;"-"&amp;year&amp;" are equal to the product of the prior year’s claims and the factors in items 5 through 9. "</f>
        <v xml:space="preserve">Claims in item 10 for 2019-2021 are equal to the product of the prior year’s claims and the factors in items 5 through 9. </v>
      </c>
      <c r="B87" s="465"/>
      <c r="C87" s="465"/>
      <c r="D87" s="465"/>
      <c r="E87" s="465"/>
      <c r="F87" s="465"/>
      <c r="G87" s="465"/>
      <c r="H87" s="465"/>
      <c r="I87" s="466"/>
    </row>
    <row r="88" spans="1:9" x14ac:dyDescent="0.35">
      <c r="A88" s="455" t="str">
        <f>"For "&amp;year-2&amp;", the claims in item 10 must agree with the ultimate claims stated in item 4."</f>
        <v>For 2019, the claims in item 10 must agree with the ultimate claims stated in item 4.</v>
      </c>
      <c r="B88" s="456"/>
      <c r="C88" s="456"/>
      <c r="D88" s="456"/>
      <c r="E88" s="456"/>
      <c r="F88" s="456"/>
      <c r="G88" s="456"/>
      <c r="H88" s="456"/>
      <c r="I88" s="457"/>
    </row>
    <row r="89" spans="1:9" hidden="1" x14ac:dyDescent="0.35">
      <c r="A89" s="455"/>
      <c r="B89" s="456"/>
      <c r="C89" s="456"/>
      <c r="D89" s="456"/>
      <c r="E89" s="456"/>
      <c r="F89" s="456"/>
      <c r="G89" s="456"/>
      <c r="H89" s="456"/>
      <c r="I89" s="457"/>
    </row>
    <row r="91" spans="1:9" x14ac:dyDescent="0.35">
      <c r="A91" s="32" t="s">
        <v>218</v>
      </c>
    </row>
    <row r="92" spans="1:9" ht="15" thickBot="1" x14ac:dyDescent="0.4"/>
    <row r="93" spans="1:9" ht="15" thickBot="1" x14ac:dyDescent="0.4">
      <c r="A93" s="111" t="s">
        <v>176</v>
      </c>
      <c r="B93" s="104"/>
      <c r="C93" s="111" t="s">
        <v>174</v>
      </c>
      <c r="D93" s="104"/>
      <c r="E93" s="127" t="s">
        <v>177</v>
      </c>
      <c r="F93" s="105" t="s">
        <v>40</v>
      </c>
    </row>
    <row r="94" spans="1:9" ht="12.75" customHeight="1" x14ac:dyDescent="0.35"/>
    <row r="95" spans="1:9" ht="12.75" customHeight="1" x14ac:dyDescent="0.35">
      <c r="A95" s="32" t="s">
        <v>41</v>
      </c>
      <c r="C95" s="102"/>
    </row>
    <row r="96" spans="1:9" ht="12.75" customHeight="1" x14ac:dyDescent="0.35"/>
    <row r="97" spans="1:9" x14ac:dyDescent="0.35">
      <c r="B97" s="83" t="str">
        <f>year-3 &amp;" to " &amp;year-2</f>
        <v>2018 to 2019</v>
      </c>
      <c r="C97" s="65"/>
      <c r="D97" s="83" t="str">
        <f>year-2&amp; " to " &amp;year-1</f>
        <v>2019 to 2020</v>
      </c>
      <c r="E97" s="65"/>
      <c r="F97" s="467" t="str">
        <f>"Est. " &amp;year-1&amp; " to " &amp;year</f>
        <v>Est. 2020 to 2021</v>
      </c>
      <c r="G97" s="468"/>
      <c r="H97" s="65"/>
    </row>
    <row r="98" spans="1:9" x14ac:dyDescent="0.35">
      <c r="F98" s="83"/>
    </row>
    <row r="99" spans="1:9" x14ac:dyDescent="0.35">
      <c r="A99" s="32" t="s">
        <v>42</v>
      </c>
      <c r="B99" s="106">
        <v>1</v>
      </c>
      <c r="C99" s="398"/>
      <c r="D99" s="106" t="e">
        <f>(C32*H37+C33*H38+C34*H39)/(C32*H32+C33*H33+C34*H34)</f>
        <v>#DIV/0!</v>
      </c>
      <c r="E99" s="398"/>
      <c r="F99" s="106" t="e">
        <f>(C37*D42+C38*D43+C39*D44)/(C37*D37+C38*D38+C39*D39)</f>
        <v>#DIV/0!</v>
      </c>
    </row>
    <row r="100" spans="1:9" ht="15" thickBot="1" x14ac:dyDescent="0.4">
      <c r="F100" s="7"/>
    </row>
    <row r="101" spans="1:9" ht="15" thickBot="1" x14ac:dyDescent="0.4">
      <c r="A101" s="32" t="s">
        <v>93</v>
      </c>
      <c r="B101" s="140">
        <v>1</v>
      </c>
      <c r="D101" s="107">
        <v>1</v>
      </c>
      <c r="F101" s="107">
        <v>1</v>
      </c>
    </row>
    <row r="102" spans="1:9" x14ac:dyDescent="0.35">
      <c r="A102" s="54" t="s">
        <v>43</v>
      </c>
    </row>
    <row r="104" spans="1:9" x14ac:dyDescent="0.35">
      <c r="A104" s="32" t="s">
        <v>44</v>
      </c>
      <c r="B104" s="108">
        <f>B99</f>
        <v>1</v>
      </c>
      <c r="D104" s="108" t="e">
        <f>IF(F93&lt;&gt;"X",D$99*D$101,D99)</f>
        <v>#DIV/0!</v>
      </c>
      <c r="F104" s="108" t="e">
        <f>IF(F93&lt;&gt;"X",F$99*F$101,F99)</f>
        <v>#DIV/0!</v>
      </c>
    </row>
    <row r="106" spans="1:9" ht="15" thickBot="1" x14ac:dyDescent="0.4">
      <c r="A106" s="432" t="s">
        <v>47</v>
      </c>
      <c r="B106" s="433"/>
      <c r="C106" s="433"/>
      <c r="D106" s="433"/>
      <c r="E106" s="433"/>
      <c r="F106" s="433"/>
      <c r="G106" s="433"/>
      <c r="H106" s="433"/>
      <c r="I106" s="434"/>
    </row>
    <row r="107" spans="1:9" ht="15" thickTop="1" x14ac:dyDescent="0.35">
      <c r="A107" s="458" t="s">
        <v>211</v>
      </c>
      <c r="B107" s="459"/>
      <c r="C107" s="459"/>
      <c r="D107" s="459"/>
      <c r="E107" s="459"/>
      <c r="F107" s="459"/>
      <c r="G107" s="459"/>
      <c r="H107" s="459"/>
      <c r="I107" s="460"/>
    </row>
    <row r="108" spans="1:9" x14ac:dyDescent="0.35">
      <c r="A108" s="458" t="s">
        <v>191</v>
      </c>
      <c r="B108" s="459"/>
      <c r="C108" s="459"/>
      <c r="D108" s="459"/>
      <c r="E108" s="459"/>
      <c r="F108" s="459"/>
      <c r="G108" s="459"/>
      <c r="H108" s="459"/>
      <c r="I108" s="460"/>
    </row>
    <row r="109" spans="1:9" x14ac:dyDescent="0.35">
      <c r="A109" s="458" t="s">
        <v>94</v>
      </c>
      <c r="B109" s="459"/>
      <c r="C109" s="459"/>
      <c r="D109" s="459"/>
      <c r="E109" s="459"/>
      <c r="F109" s="459"/>
      <c r="G109" s="459"/>
      <c r="H109" s="459"/>
      <c r="I109" s="460"/>
    </row>
    <row r="110" spans="1:9" x14ac:dyDescent="0.35">
      <c r="A110" s="461" t="s">
        <v>46</v>
      </c>
      <c r="B110" s="462"/>
      <c r="C110" s="462"/>
      <c r="D110" s="462"/>
      <c r="E110" s="462"/>
      <c r="F110" s="462"/>
      <c r="G110" s="462"/>
      <c r="H110" s="462"/>
      <c r="I110" s="463"/>
    </row>
    <row r="112" spans="1:9" x14ac:dyDescent="0.35">
      <c r="A112" s="32" t="str">
        <f>"6. What was the change in benefit factor for " &amp;year-3&amp; " to " &amp;year-2&amp;", " &amp;year-2&amp;" to " &amp;year-1&amp; ", and your estimate for " &amp;year-1&amp;" to "&amp;year&amp;"?"</f>
        <v>6. What was the change in benefit factor for 2018 to 2019, 2019 to 2020, and your estimate for 2020 to 2021?</v>
      </c>
    </row>
    <row r="114" spans="1:9" x14ac:dyDescent="0.35">
      <c r="B114" s="452" t="s">
        <v>158</v>
      </c>
      <c r="C114" s="452"/>
      <c r="D114" s="452"/>
      <c r="E114" s="453" t="s">
        <v>147</v>
      </c>
      <c r="F114" s="453"/>
      <c r="G114" s="453"/>
      <c r="H114" s="453"/>
      <c r="I114" s="453"/>
    </row>
    <row r="115" spans="1:9" ht="15" thickBot="1" x14ac:dyDescent="0.4">
      <c r="B115" s="109" t="str">
        <f>year-3 &amp; " to " &amp;year-2</f>
        <v>2018 to 2019</v>
      </c>
      <c r="C115" s="109" t="str">
        <f>year-2 &amp; " to " &amp;year-1</f>
        <v>2019 to 2020</v>
      </c>
      <c r="D115" s="38" t="str">
        <f>year-1 &amp;" to " &amp;year&amp; "**"</f>
        <v>2020 to 2021**</v>
      </c>
    </row>
    <row r="116" spans="1:9" ht="15" thickBot="1" x14ac:dyDescent="0.4">
      <c r="A116" s="101" t="s">
        <v>33</v>
      </c>
      <c r="B116" s="141">
        <v>0</v>
      </c>
      <c r="C116" s="110"/>
      <c r="D116" s="251"/>
      <c r="F116" s="32"/>
      <c r="I116" s="112"/>
    </row>
    <row r="117" spans="1:9" ht="15" thickBot="1" x14ac:dyDescent="0.4">
      <c r="A117" s="219" t="s">
        <v>190</v>
      </c>
      <c r="B117" s="141">
        <v>0</v>
      </c>
      <c r="C117" s="251"/>
      <c r="D117" s="251"/>
      <c r="F117" s="32"/>
      <c r="I117" s="232"/>
    </row>
    <row r="118" spans="1:9" ht="15" thickBot="1" x14ac:dyDescent="0.4">
      <c r="A118" s="101" t="s">
        <v>34</v>
      </c>
      <c r="B118" s="141">
        <v>0</v>
      </c>
      <c r="C118" s="110"/>
      <c r="D118" s="251"/>
    </row>
    <row r="119" spans="1:9" ht="15" thickBot="1" x14ac:dyDescent="0.4">
      <c r="A119" s="219" t="s">
        <v>50</v>
      </c>
      <c r="B119" s="34">
        <v>0</v>
      </c>
      <c r="C119" s="107">
        <v>0</v>
      </c>
      <c r="D119" s="107">
        <v>0</v>
      </c>
    </row>
    <row r="120" spans="1:9" x14ac:dyDescent="0.35">
      <c r="A120" s="101" t="s">
        <v>49</v>
      </c>
      <c r="B120" s="106">
        <v>1</v>
      </c>
      <c r="C120" s="255" t="e">
        <f>IF(I116=FALSE,((H37*(C32+C116))+(H38*(C33+C117))+(H39*(C34+C118)))/(H37*C32+H38*C33+H39*C34),0)</f>
        <v>#DIV/0!</v>
      </c>
      <c r="D120" s="243" t="e">
        <f>IF(I116=FALSE, ((D42*(C37+D116))+(D43*(C38+D117))+(D44*(C39+D118)))/(D42*C37+C39*D44+D43*C38), 0)</f>
        <v>#DIV/0!</v>
      </c>
    </row>
    <row r="121" spans="1:9" x14ac:dyDescent="0.35">
      <c r="A121" s="240" t="s">
        <v>169</v>
      </c>
    </row>
    <row r="122" spans="1:9" x14ac:dyDescent="0.35">
      <c r="A122" s="241" t="s">
        <v>332</v>
      </c>
    </row>
    <row r="125" spans="1:9" x14ac:dyDescent="0.35">
      <c r="A125" s="32" t="s">
        <v>212</v>
      </c>
      <c r="B125" s="102"/>
      <c r="D125" s="83" t="s">
        <v>51</v>
      </c>
      <c r="E125" s="454"/>
      <c r="F125" s="83" t="s">
        <v>52</v>
      </c>
      <c r="G125" s="454"/>
      <c r="H125" s="83" t="s">
        <v>53</v>
      </c>
    </row>
    <row r="126" spans="1:9" x14ac:dyDescent="0.35">
      <c r="D126" s="84" t="s">
        <v>54</v>
      </c>
      <c r="E126" s="454"/>
      <c r="F126" s="84" t="s">
        <v>54</v>
      </c>
      <c r="G126" s="454"/>
      <c r="H126" s="84" t="s">
        <v>54</v>
      </c>
    </row>
    <row r="127" spans="1:9" ht="15" thickBot="1" x14ac:dyDescent="0.4">
      <c r="B127" s="447" t="str">
        <f>year-3&amp;" to "  &amp;year-2</f>
        <v>2018 to 2019</v>
      </c>
      <c r="C127" s="447"/>
      <c r="D127" s="113">
        <f>F127*H127</f>
        <v>1</v>
      </c>
      <c r="E127" s="90" t="s">
        <v>55</v>
      </c>
      <c r="F127" s="41">
        <v>1</v>
      </c>
      <c r="G127" s="90" t="s">
        <v>40</v>
      </c>
      <c r="H127" s="41">
        <v>1</v>
      </c>
    </row>
    <row r="128" spans="1:9" ht="15" thickBot="1" x14ac:dyDescent="0.4">
      <c r="B128" s="447" t="str">
        <f>"Projected " &amp;year-2&amp; " to " &amp;year-1</f>
        <v>Projected 2019 to 2020</v>
      </c>
      <c r="C128" s="447"/>
      <c r="D128" s="113">
        <f>F128*H128</f>
        <v>1</v>
      </c>
      <c r="E128" s="90" t="s">
        <v>55</v>
      </c>
      <c r="F128" s="114">
        <v>1</v>
      </c>
      <c r="G128" s="90" t="s">
        <v>40</v>
      </c>
      <c r="H128" s="114">
        <v>1</v>
      </c>
    </row>
    <row r="129" spans="1:9" ht="15" thickBot="1" x14ac:dyDescent="0.4">
      <c r="B129" s="447" t="str">
        <f>"Projected " &amp;year-1&amp;" to " &amp;year</f>
        <v>Projected 2020 to 2021</v>
      </c>
      <c r="C129" s="447"/>
      <c r="D129" s="113">
        <f>F129*H129</f>
        <v>1</v>
      </c>
      <c r="E129" s="90" t="s">
        <v>55</v>
      </c>
      <c r="F129" s="114">
        <v>1</v>
      </c>
      <c r="G129" s="90" t="s">
        <v>40</v>
      </c>
      <c r="H129" s="114">
        <v>1</v>
      </c>
    </row>
    <row r="131" spans="1:9" ht="15" thickBot="1" x14ac:dyDescent="0.4">
      <c r="A131" s="432" t="s">
        <v>47</v>
      </c>
      <c r="B131" s="433"/>
      <c r="C131" s="433"/>
      <c r="D131" s="433"/>
      <c r="E131" s="433"/>
      <c r="F131" s="433"/>
      <c r="G131" s="433"/>
      <c r="H131" s="433"/>
      <c r="I131" s="434"/>
    </row>
    <row r="132" spans="1:9" ht="15" thickTop="1" x14ac:dyDescent="0.35">
      <c r="A132" s="435" t="s">
        <v>364</v>
      </c>
      <c r="B132" s="436"/>
      <c r="C132" s="436"/>
      <c r="D132" s="436"/>
      <c r="E132" s="436"/>
      <c r="F132" s="436"/>
      <c r="G132" s="436"/>
      <c r="H132" s="436"/>
      <c r="I132" s="437"/>
    </row>
    <row r="133" spans="1:9" x14ac:dyDescent="0.35">
      <c r="A133" s="438"/>
      <c r="B133" s="439"/>
      <c r="C133" s="439"/>
      <c r="D133" s="439"/>
      <c r="E133" s="439"/>
      <c r="F133" s="439"/>
      <c r="G133" s="439"/>
      <c r="H133" s="439"/>
      <c r="I133" s="440"/>
    </row>
    <row r="134" spans="1:9" x14ac:dyDescent="0.35">
      <c r="A134" s="7"/>
      <c r="B134" s="7"/>
      <c r="C134" s="7"/>
      <c r="D134" s="7"/>
      <c r="E134" s="29"/>
      <c r="F134" s="7"/>
      <c r="G134" s="7"/>
      <c r="H134" s="7"/>
      <c r="I134" s="7"/>
    </row>
    <row r="135" spans="1:9" x14ac:dyDescent="0.35">
      <c r="A135" s="9" t="s">
        <v>335</v>
      </c>
      <c r="B135" s="7"/>
      <c r="C135" s="7"/>
      <c r="D135" s="7"/>
      <c r="E135" s="7"/>
      <c r="F135" s="7"/>
      <c r="G135" s="7"/>
      <c r="H135" s="7"/>
      <c r="I135" s="7"/>
    </row>
    <row r="137" spans="1:9" x14ac:dyDescent="0.35">
      <c r="D137" s="115" t="s">
        <v>56</v>
      </c>
      <c r="E137" s="115" t="s">
        <v>48</v>
      </c>
      <c r="F137" s="115" t="s">
        <v>57</v>
      </c>
      <c r="G137" s="115" t="s">
        <v>58</v>
      </c>
      <c r="H137" s="115" t="s">
        <v>59</v>
      </c>
      <c r="I137" s="115" t="s">
        <v>60</v>
      </c>
    </row>
    <row r="138" spans="1:9" ht="15" thickBot="1" x14ac:dyDescent="0.4">
      <c r="B138" s="447" t="str">
        <f>year-3&amp;" to "  &amp;year-2</f>
        <v>2018 to 2019</v>
      </c>
      <c r="C138" s="447"/>
      <c r="D138" s="106">
        <f>(1+(($F138-1)*$H138)+(($G138-1)*$I138))/($F138+$G138-1)</f>
        <v>1</v>
      </c>
      <c r="E138" s="106">
        <f>B104</f>
        <v>1</v>
      </c>
      <c r="F138" s="34">
        <f>$E138-$G138+1</f>
        <v>1</v>
      </c>
      <c r="G138" s="41">
        <v>1</v>
      </c>
      <c r="H138" s="41">
        <v>1</v>
      </c>
      <c r="I138" s="41">
        <v>1</v>
      </c>
    </row>
    <row r="139" spans="1:9" ht="15" thickBot="1" x14ac:dyDescent="0.4">
      <c r="B139" s="447" t="str">
        <f>"Projected " &amp;year-2&amp; " to " &amp;year-1</f>
        <v>Projected 2019 to 2020</v>
      </c>
      <c r="C139" s="447"/>
      <c r="D139" s="106" t="e">
        <f>(1+(($F139-1)*$H139)+(($G139-1)*$I139))/($F139+$G139-1)</f>
        <v>#DIV/0!</v>
      </c>
      <c r="E139" s="106" t="e">
        <f>D104</f>
        <v>#DIV/0!</v>
      </c>
      <c r="F139" s="34" t="e">
        <f>$E139-$G139+1</f>
        <v>#DIV/0!</v>
      </c>
      <c r="G139" s="114">
        <v>1</v>
      </c>
      <c r="H139" s="114">
        <v>1</v>
      </c>
      <c r="I139" s="114">
        <v>1</v>
      </c>
    </row>
    <row r="140" spans="1:9" ht="15" thickBot="1" x14ac:dyDescent="0.4">
      <c r="B140" s="447" t="str">
        <f>"Projected " &amp;year-1&amp;" to " &amp;year</f>
        <v>Projected 2020 to 2021</v>
      </c>
      <c r="C140" s="447"/>
      <c r="D140" s="106" t="e">
        <f>(1+(($F140-1)*$H140)+(($G140-1)*$I140))/($F140+$G140-1)</f>
        <v>#DIV/0!</v>
      </c>
      <c r="E140" s="106" t="e">
        <f>F104</f>
        <v>#DIV/0!</v>
      </c>
      <c r="F140" s="34" t="e">
        <f>$E140-$G140+1</f>
        <v>#DIV/0!</v>
      </c>
      <c r="G140" s="114">
        <v>1</v>
      </c>
      <c r="H140" s="114">
        <v>1</v>
      </c>
      <c r="I140" s="114">
        <v>1</v>
      </c>
    </row>
    <row r="141" spans="1:9" x14ac:dyDescent="0.35">
      <c r="A141" s="116"/>
      <c r="B141" s="116"/>
      <c r="C141" s="116"/>
      <c r="D141" s="116"/>
    </row>
    <row r="143" spans="1:9" x14ac:dyDescent="0.35">
      <c r="A143" s="9" t="s">
        <v>213</v>
      </c>
    </row>
    <row r="144" spans="1:9" ht="15" thickBot="1" x14ac:dyDescent="0.4"/>
    <row r="145" spans="1:9" ht="15" thickBot="1" x14ac:dyDescent="0.4">
      <c r="D145" s="115" t="s">
        <v>61</v>
      </c>
      <c r="E145" s="120"/>
      <c r="F145" s="120"/>
      <c r="G145" s="120"/>
    </row>
    <row r="146" spans="1:9" ht="15" thickBot="1" x14ac:dyDescent="0.4">
      <c r="B146" s="447" t="str">
        <f>year-3&amp;" to "  &amp;year-2</f>
        <v>2018 to 2019</v>
      </c>
      <c r="C146" s="447"/>
      <c r="D146" s="106">
        <f>E146*F146*G146</f>
        <v>1</v>
      </c>
      <c r="E146" s="34">
        <v>1</v>
      </c>
      <c r="F146" s="34">
        <v>1</v>
      </c>
      <c r="G146" s="34">
        <v>1</v>
      </c>
    </row>
    <row r="147" spans="1:9" ht="15" thickBot="1" x14ac:dyDescent="0.4">
      <c r="B147" s="447" t="str">
        <f>"Projected " &amp;year-2&amp; " to " &amp;year-1</f>
        <v>Projected 2019 to 2020</v>
      </c>
      <c r="C147" s="447"/>
      <c r="D147" s="106">
        <f>E147*F147*G147</f>
        <v>1</v>
      </c>
      <c r="E147" s="107">
        <v>1</v>
      </c>
      <c r="F147" s="107">
        <v>1</v>
      </c>
      <c r="G147" s="107">
        <v>1</v>
      </c>
    </row>
    <row r="148" spans="1:9" ht="15" thickBot="1" x14ac:dyDescent="0.4">
      <c r="B148" s="447" t="str">
        <f>"Projected " &amp;year-1&amp;" to " &amp;year</f>
        <v>Projected 2020 to 2021</v>
      </c>
      <c r="C148" s="447"/>
      <c r="D148" s="106">
        <f>E148*F148*G148</f>
        <v>1</v>
      </c>
      <c r="E148" s="107">
        <v>1</v>
      </c>
      <c r="F148" s="107">
        <v>1</v>
      </c>
      <c r="G148" s="107">
        <v>1</v>
      </c>
    </row>
    <row r="149" spans="1:9" x14ac:dyDescent="0.35">
      <c r="A149" s="116"/>
    </row>
    <row r="151" spans="1:9" x14ac:dyDescent="0.35">
      <c r="A151" s="32" t="s">
        <v>214</v>
      </c>
    </row>
    <row r="152" spans="1:9" ht="15" thickBot="1" x14ac:dyDescent="0.4"/>
    <row r="153" spans="1:9" ht="15" thickBot="1" x14ac:dyDescent="0.4">
      <c r="B153" s="448" t="s">
        <v>62</v>
      </c>
      <c r="C153" s="448"/>
      <c r="D153" s="448"/>
      <c r="E153" s="448"/>
      <c r="F153" s="448"/>
      <c r="G153" s="83"/>
      <c r="H153" s="44" t="s">
        <v>144</v>
      </c>
      <c r="I153" s="45"/>
    </row>
    <row r="154" spans="1:9" x14ac:dyDescent="0.35">
      <c r="B154" s="115" t="s">
        <v>28</v>
      </c>
      <c r="C154" s="115" t="s">
        <v>63</v>
      </c>
      <c r="D154" s="115" t="s">
        <v>51</v>
      </c>
      <c r="E154" s="115" t="s">
        <v>56</v>
      </c>
      <c r="F154" s="115" t="s">
        <v>64</v>
      </c>
      <c r="G154" s="115" t="s">
        <v>65</v>
      </c>
      <c r="H154" s="46" t="s">
        <v>215</v>
      </c>
      <c r="I154" s="47"/>
    </row>
    <row r="155" spans="1:9" ht="15" thickBot="1" x14ac:dyDescent="0.4">
      <c r="A155" s="101" t="str">
        <f>year-3&amp;"   "</f>
        <v xml:space="preserve">2018   </v>
      </c>
      <c r="G155" s="118">
        <f>E73</f>
        <v>0</v>
      </c>
      <c r="H155" s="49" t="s">
        <v>145</v>
      </c>
      <c r="I155" s="50"/>
    </row>
    <row r="156" spans="1:9" x14ac:dyDescent="0.35">
      <c r="A156" s="101" t="str">
        <f>year-2&amp;" x"</f>
        <v>2019 x</v>
      </c>
      <c r="B156" s="106">
        <f>B104</f>
        <v>1</v>
      </c>
      <c r="C156" s="106">
        <f>IF(B119=0,B120,B119)</f>
        <v>1</v>
      </c>
      <c r="D156" s="106">
        <f>D127</f>
        <v>1</v>
      </c>
      <c r="E156" s="106">
        <f>D138</f>
        <v>1</v>
      </c>
      <c r="F156" s="106">
        <f>D146</f>
        <v>1</v>
      </c>
      <c r="G156" s="118">
        <f>G73</f>
        <v>0</v>
      </c>
    </row>
    <row r="157" spans="1:9" x14ac:dyDescent="0.35">
      <c r="A157" s="101" t="str">
        <f>year-1&amp;" x"</f>
        <v>2020 x</v>
      </c>
      <c r="B157" s="106" t="e">
        <f>D104</f>
        <v>#DIV/0!</v>
      </c>
      <c r="C157" s="106" t="e">
        <f>IF(C119=0,C120,C119)</f>
        <v>#DIV/0!</v>
      </c>
      <c r="D157" s="106">
        <f>D128</f>
        <v>1</v>
      </c>
      <c r="E157" s="106" t="e">
        <f>D139</f>
        <v>#DIV/0!</v>
      </c>
      <c r="F157" s="106">
        <f>D147</f>
        <v>1</v>
      </c>
      <c r="G157" s="163" t="e">
        <f>G156*B157*C157*D157*E157*F157</f>
        <v>#DIV/0!</v>
      </c>
    </row>
    <row r="158" spans="1:9" x14ac:dyDescent="0.35">
      <c r="A158" s="101" t="str">
        <f>year&amp;" x"</f>
        <v>2021 x</v>
      </c>
      <c r="B158" s="106" t="e">
        <f>F104</f>
        <v>#DIV/0!</v>
      </c>
      <c r="C158" s="106" t="e">
        <f>IF(D119=0,D120,D119)</f>
        <v>#DIV/0!</v>
      </c>
      <c r="D158" s="106">
        <f>D129</f>
        <v>1</v>
      </c>
      <c r="E158" s="106" t="e">
        <f>D140</f>
        <v>#DIV/0!</v>
      </c>
      <c r="F158" s="106">
        <f>D148</f>
        <v>1</v>
      </c>
      <c r="G158" s="118" t="e">
        <f>G157*B158*C158*D158*E158*F158</f>
        <v>#DIV/0!</v>
      </c>
    </row>
    <row r="160" spans="1:9" x14ac:dyDescent="0.35">
      <c r="A160" s="32" t="str">
        <f>"11. December 31, " &amp;year-2&amp; " Special Reserve"</f>
        <v>11. December 31, 2019 Special Reserve</v>
      </c>
    </row>
    <row r="161" spans="1:6" x14ac:dyDescent="0.35">
      <c r="A161" s="32" t="str">
        <f>"   (a) " &amp;year-4&amp;", " &amp;year-3&amp;" and " &amp;year-2&amp;" Claims Paid Through 12/31/" &amp;year-2</f>
        <v xml:space="preserve">   (a) 2017, 2018 and 2019 Claims Paid Through 12/31/2019</v>
      </c>
      <c r="F161" s="118">
        <f>C65+E65+G65</f>
        <v>0</v>
      </c>
    </row>
    <row r="162" spans="1:6" x14ac:dyDescent="0.35">
      <c r="A162" s="32" t="str">
        <f>"   (b) " &amp;year-4&amp;", " &amp;year-3&amp;" and " &amp;year-2&amp;" Estimated Incurred Claims"</f>
        <v xml:space="preserve">   (b) 2017, 2018 and 2019 Estimated Incurred Claims</v>
      </c>
      <c r="F162" s="118">
        <f>C73+E73+G73</f>
        <v>0</v>
      </c>
    </row>
    <row r="163" spans="1:6" ht="15" thickBot="1" x14ac:dyDescent="0.4">
      <c r="A163" s="32" t="s">
        <v>66</v>
      </c>
      <c r="F163" s="118">
        <f>F162-F161</f>
        <v>0</v>
      </c>
    </row>
    <row r="164" spans="1:6" ht="15" thickBot="1" x14ac:dyDescent="0.4">
      <c r="A164" s="32" t="str">
        <f>"   (d) 12/31/" &amp;year-2&amp;" Accounting Stmt Accrued Claims Reserve"</f>
        <v xml:space="preserve">   (d) 12/31/2019 Accounting Stmt Accrued Claims Reserve</v>
      </c>
      <c r="F164" s="82"/>
    </row>
    <row r="165" spans="1:6" ht="15" thickBot="1" x14ac:dyDescent="0.4">
      <c r="A165" s="32" t="str">
        <f>"   (e) 12/31/" &amp;year-2&amp;" Accounting Stmt Accrued Expense Reserve"</f>
        <v xml:space="preserve">   (e) 12/31/2019 Accounting Stmt Accrued Expense Reserve</v>
      </c>
      <c r="F165" s="82"/>
    </row>
    <row r="166" spans="1:6" ht="15" thickBot="1" x14ac:dyDescent="0.4">
      <c r="A166" s="32" t="str">
        <f>"   (f) 12/31/" &amp;year-2&amp;" Accounting Stmt Special Reserve"</f>
        <v xml:space="preserve">   (f) 12/31/2019 Accounting Stmt Special Reserve</v>
      </c>
      <c r="F166" s="82"/>
    </row>
    <row r="167" spans="1:6" x14ac:dyDescent="0.35">
      <c r="A167" s="32" t="s">
        <v>67</v>
      </c>
      <c r="F167" s="118">
        <f>F164+F165+F166-F163-F165</f>
        <v>0</v>
      </c>
    </row>
    <row r="169" spans="1:6" x14ac:dyDescent="0.35">
      <c r="A169" s="32" t="s">
        <v>216</v>
      </c>
    </row>
    <row r="170" spans="1:6" x14ac:dyDescent="0.35">
      <c r="A170" s="32" t="str">
        <f>"   (a) 12/31/" &amp;year-2&amp;" Accrued Claims Reserve"</f>
        <v xml:space="preserve">   (a) 12/31/2019 Accrued Claims Reserve</v>
      </c>
      <c r="F170" s="118">
        <f>F163</f>
        <v>0</v>
      </c>
    </row>
    <row r="171" spans="1:6" x14ac:dyDescent="0.35">
      <c r="A171" s="32" t="str">
        <f>"   (b) 12/31/"&amp;year-1&amp;" Est. Accrued Claims Reserve ("&amp;year-2003&amp;" - "&amp;year-2001&amp;" Ultimate Claims Against Run Out)"</f>
        <v xml:space="preserve">   (b) 12/31/2020 Est. Accrued Claims Reserve (18 - 20 Ultimate Claims Against Run Out)</v>
      </c>
      <c r="F171" s="118" t="e">
        <f>G155*(1-C80)+G156*(1-E80)+G157*(1-G80)</f>
        <v>#DIV/0!</v>
      </c>
    </row>
    <row r="172" spans="1:6" x14ac:dyDescent="0.35">
      <c r="A172" s="32" t="str">
        <f>"   (c) 12/31/" &amp;year&amp;" Est. Accrued Claims Reserve (" &amp;year-2002&amp; " - " &amp;year-2000&amp; " Ultimate Claims Against Run Out)"</f>
        <v xml:space="preserve">   (c) 12/31/2021 Est. Accrued Claims Reserve (19 - 21 Ultimate Claims Against Run Out)</v>
      </c>
      <c r="F172" s="118" t="e">
        <f>G158*(1-(G65/G73))</f>
        <v>#DIV/0!</v>
      </c>
    </row>
    <row r="174" spans="1:6" x14ac:dyDescent="0.35">
      <c r="A174" s="32" t="s">
        <v>217</v>
      </c>
    </row>
    <row r="175" spans="1:6" x14ac:dyDescent="0.35">
      <c r="A175" s="32" t="str">
        <f>"   (a)"</f>
        <v xml:space="preserve">   (a)</v>
      </c>
      <c r="C175" s="83" t="s">
        <v>71</v>
      </c>
      <c r="E175" s="83" t="s">
        <v>61</v>
      </c>
    </row>
    <row r="176" spans="1:6" x14ac:dyDescent="0.35">
      <c r="B176" s="115" t="s">
        <v>68</v>
      </c>
      <c r="C176" s="115" t="s">
        <v>69</v>
      </c>
      <c r="E176" s="115" t="s">
        <v>70</v>
      </c>
    </row>
    <row r="177" spans="1:12" ht="15" thickBot="1" x14ac:dyDescent="0.4"/>
    <row r="178" spans="1:12" ht="15" thickBot="1" x14ac:dyDescent="0.4">
      <c r="B178" s="83">
        <f>year-2</f>
        <v>2019</v>
      </c>
      <c r="C178" s="82"/>
      <c r="E178" s="82"/>
    </row>
    <row r="179" spans="1:12" ht="15" thickBot="1" x14ac:dyDescent="0.4">
      <c r="B179" s="83">
        <f>year-1</f>
        <v>2020</v>
      </c>
      <c r="C179" s="82"/>
      <c r="E179" s="82"/>
    </row>
    <row r="180" spans="1:12" ht="15" thickBot="1" x14ac:dyDescent="0.4">
      <c r="B180" s="83">
        <f>year</f>
        <v>2021</v>
      </c>
      <c r="C180" s="82"/>
      <c r="E180" s="82"/>
    </row>
    <row r="182" spans="1:12" x14ac:dyDescent="0.35">
      <c r="A182" s="32" t="str">
        <f>"   (b)"</f>
        <v xml:space="preserve">   (b)</v>
      </c>
      <c r="C182" s="83" t="s">
        <v>71</v>
      </c>
      <c r="E182" s="83" t="s">
        <v>71</v>
      </c>
    </row>
    <row r="183" spans="1:12" x14ac:dyDescent="0.35">
      <c r="B183" s="115" t="s">
        <v>68</v>
      </c>
      <c r="C183" s="203" t="s">
        <v>72</v>
      </c>
      <c r="E183" s="115" t="s">
        <v>73</v>
      </c>
    </row>
    <row r="185" spans="1:12" x14ac:dyDescent="0.35">
      <c r="B185" s="83">
        <f>year-2</f>
        <v>2019</v>
      </c>
      <c r="C185" s="118" t="e">
        <f>C178/(G80+(G155/G156)-G80*(G155/G156))</f>
        <v>#DIV/0!</v>
      </c>
      <c r="E185" s="118">
        <f>F165</f>
        <v>0</v>
      </c>
    </row>
    <row r="186" spans="1:12" x14ac:dyDescent="0.35">
      <c r="B186" s="83">
        <f>year-1</f>
        <v>2020</v>
      </c>
      <c r="C186" s="118" t="e">
        <f>(C179-C185*(1-(G65/G73)))/(G65/G73)</f>
        <v>#DIV/0!</v>
      </c>
      <c r="E186" s="118" t="e">
        <f>C186*(1-(G65/G73))</f>
        <v>#DIV/0!</v>
      </c>
    </row>
    <row r="187" spans="1:12" x14ac:dyDescent="0.35">
      <c r="B187" s="83">
        <f>year</f>
        <v>2021</v>
      </c>
      <c r="C187" s="118" t="e">
        <f>(C180-C186*(1-(G65/G73)))/(G65/G73)</f>
        <v>#DIV/0!</v>
      </c>
      <c r="E187" s="118" t="e">
        <f>C187*(1-(G65/G73))</f>
        <v>#DIV/0!</v>
      </c>
    </row>
    <row r="188" spans="1:12" ht="15" thickBot="1" x14ac:dyDescent="0.4"/>
    <row r="189" spans="1:12" ht="15" thickBot="1" x14ac:dyDescent="0.4">
      <c r="A189" s="32" t="str">
        <f>"   (c) " &amp;year&amp; " Estimate of Service Charge (to be negotiated with Office of Insurance Operations)"</f>
        <v xml:space="preserve">   (c) 2021 Estimate of Service Charge (to be negotiated with Office of Insurance Operations)</v>
      </c>
      <c r="F189" s="119"/>
    </row>
    <row r="190" spans="1:12" ht="15" thickBot="1" x14ac:dyDescent="0.4">
      <c r="A190" s="32" t="str">
        <f>"   (d) " &amp;year&amp; " Estimated Cost of Facility Capital"</f>
        <v xml:space="preserve">   (d) 2021 Estimated Cost of Facility Capital</v>
      </c>
      <c r="F190" s="119"/>
    </row>
    <row r="192" spans="1:12" x14ac:dyDescent="0.35">
      <c r="A192" s="241" t="s">
        <v>197</v>
      </c>
      <c r="B192" s="241"/>
      <c r="C192" s="241"/>
      <c r="D192" s="241"/>
      <c r="E192" s="241"/>
      <c r="F192" s="241"/>
      <c r="G192" s="241"/>
      <c r="H192" s="241"/>
      <c r="I192" s="241"/>
      <c r="J192" s="241"/>
      <c r="K192" s="241"/>
      <c r="L192" s="241"/>
    </row>
    <row r="193" spans="1:12" x14ac:dyDescent="0.35">
      <c r="A193" s="241" t="s">
        <v>196</v>
      </c>
      <c r="B193" s="241"/>
      <c r="C193" s="241"/>
      <c r="D193" s="241"/>
      <c r="E193" s="241"/>
      <c r="F193" s="241"/>
      <c r="G193" s="241"/>
      <c r="H193" s="241"/>
      <c r="I193" s="241"/>
      <c r="J193" s="241"/>
      <c r="K193" s="241"/>
      <c r="L193" s="241"/>
    </row>
    <row r="196" spans="1:12" x14ac:dyDescent="0.35">
      <c r="A196" s="32" t="str">
        <f>"14. " &amp;year-1&amp; " Contingency Reserve Payment, Interest, Investment Income and Reserve Calculations"</f>
        <v>14. 2020 Contingency Reserve Payment, Interest, Investment Income and Reserve Calculations</v>
      </c>
    </row>
    <row r="197" spans="1:12" ht="15" thickBot="1" x14ac:dyDescent="0.4">
      <c r="A197" s="32" t="str">
        <f>"   (a) Contingency Reserve"</f>
        <v xml:space="preserve">   (a) Contingency Reserve</v>
      </c>
    </row>
    <row r="198" spans="1:12" ht="15" thickBot="1" x14ac:dyDescent="0.4">
      <c r="A198" s="32" t="str">
        <f>"      (1) Contingency Reserve Balance as of 12/31/" &amp;year-2</f>
        <v xml:space="preserve">      (1) Contingency Reserve Balance as of 12/31/2019</v>
      </c>
      <c r="E198" s="82"/>
    </row>
    <row r="200" spans="1:12" x14ac:dyDescent="0.35">
      <c r="A200" s="7" t="s">
        <v>199</v>
      </c>
    </row>
    <row r="201" spans="1:12" x14ac:dyDescent="0.35">
      <c r="A201" s="7" t="s">
        <v>200</v>
      </c>
    </row>
    <row r="202" spans="1:12" x14ac:dyDescent="0.35">
      <c r="A202" s="7" t="s">
        <v>329</v>
      </c>
    </row>
    <row r="203" spans="1:12" ht="15" thickBot="1" x14ac:dyDescent="0.4">
      <c r="A203" s="7"/>
    </row>
    <row r="204" spans="1:12" ht="15" thickBot="1" x14ac:dyDescent="0.4">
      <c r="A204" s="32" t="str">
        <f>"          (a) 1st Expected Non-Standard CR Payment made in " &amp;year-1</f>
        <v xml:space="preserve">          (a) 1st Expected Non-Standard CR Payment made in 2020</v>
      </c>
      <c r="E204" s="82">
        <v>0</v>
      </c>
    </row>
    <row r="205" spans="1:12" ht="15" thickBot="1" x14ac:dyDescent="0.4">
      <c r="A205" s="32" t="str">
        <f>"          (b) Month of 1st Non-Standard CR Payment in " &amp;year-1</f>
        <v xml:space="preserve">          (b) Month of 1st Non-Standard CR Payment in 2020</v>
      </c>
      <c r="E205" s="120" t="s">
        <v>75</v>
      </c>
    </row>
    <row r="206" spans="1:12" ht="15" thickBot="1" x14ac:dyDescent="0.4">
      <c r="A206" s="32" t="str">
        <f>"          (c) 2nd Expected Non-Standard CR Payment made in " &amp;year-1</f>
        <v xml:space="preserve">          (c) 2nd Expected Non-Standard CR Payment made in 2020</v>
      </c>
      <c r="E206" s="82">
        <v>0</v>
      </c>
    </row>
    <row r="207" spans="1:12" ht="15" thickBot="1" x14ac:dyDescent="0.4">
      <c r="A207" s="32" t="str">
        <f>"          (d) Month of 2nd Non-Standard CR Payment in " &amp;year-1</f>
        <v xml:space="preserve">          (d) Month of 2nd Non-Standard CR Payment in 2020</v>
      </c>
      <c r="E207" s="120" t="s">
        <v>75</v>
      </c>
    </row>
    <row r="208" spans="1:12" ht="15" thickBot="1" x14ac:dyDescent="0.4">
      <c r="A208" s="32" t="str">
        <f>"          (e) 3rd Expected Non-Standard CR Payment made in " &amp;year-1</f>
        <v xml:space="preserve">          (e) 3rd Expected Non-Standard CR Payment made in 2020</v>
      </c>
      <c r="E208" s="82">
        <v>0</v>
      </c>
    </row>
    <row r="209" spans="1:15" s="4" customFormat="1" ht="15" thickBot="1" x14ac:dyDescent="0.4">
      <c r="A209" s="32" t="str">
        <f>"          (f) Month of 3rd Non-Standard CR Payment in " &amp;year-1</f>
        <v xml:space="preserve">          (f) Month of 3rd Non-Standard CR Payment in 2020</v>
      </c>
      <c r="B209" s="54"/>
      <c r="C209" s="54"/>
      <c r="D209" s="54"/>
      <c r="E209" s="120" t="s">
        <v>75</v>
      </c>
      <c r="F209" s="54"/>
      <c r="G209" s="54"/>
      <c r="H209" s="54"/>
      <c r="I209" s="54"/>
      <c r="J209" s="54"/>
      <c r="K209" s="54"/>
      <c r="L209" s="54"/>
      <c r="M209" s="241"/>
      <c r="N209" s="241"/>
      <c r="O209" s="241"/>
    </row>
    <row r="210" spans="1:15" s="4" customFormat="1" ht="15" thickBot="1" x14ac:dyDescent="0.4">
      <c r="A210" s="32" t="str">
        <f>"          (g) 1st Expected Non-Standard CR Payment made in " &amp;year</f>
        <v xml:space="preserve">          (g) 1st Expected Non-Standard CR Payment made in 2021</v>
      </c>
      <c r="B210" s="54"/>
      <c r="C210" s="54"/>
      <c r="D210" s="54"/>
      <c r="E210" s="82">
        <v>0</v>
      </c>
      <c r="F210" s="54"/>
      <c r="G210" s="54"/>
      <c r="H210" s="54"/>
      <c r="I210" s="54"/>
      <c r="J210" s="54"/>
      <c r="K210" s="54"/>
      <c r="L210" s="54"/>
      <c r="M210" s="241"/>
      <c r="N210" s="241"/>
      <c r="O210" s="241"/>
    </row>
    <row r="211" spans="1:15" ht="15" thickBot="1" x14ac:dyDescent="0.4">
      <c r="A211" s="32" t="str">
        <f>"          (h) Month of 1st Non-Standard CR Payment in " &amp;year</f>
        <v xml:space="preserve">          (h) Month of 1st Non-Standard CR Payment in 2021</v>
      </c>
      <c r="E211" s="120" t="s">
        <v>75</v>
      </c>
    </row>
    <row r="212" spans="1:15" s="4" customFormat="1" ht="15" thickBot="1" x14ac:dyDescent="0.4">
      <c r="A212" s="32" t="str">
        <f>"          (i) 2nd Expected Non-Standard CR Payment made in " &amp;year</f>
        <v xml:space="preserve">          (i) 2nd Expected Non-Standard CR Payment made in 2021</v>
      </c>
      <c r="B212" s="54"/>
      <c r="C212" s="54"/>
      <c r="D212" s="54"/>
      <c r="E212" s="82">
        <v>0</v>
      </c>
      <c r="F212" s="54"/>
      <c r="G212" s="54"/>
      <c r="H212" s="54"/>
      <c r="I212" s="54"/>
      <c r="J212" s="54"/>
      <c r="K212" s="54"/>
      <c r="L212" s="54"/>
    </row>
    <row r="213" spans="1:15" s="4" customFormat="1" ht="15" thickBot="1" x14ac:dyDescent="0.4">
      <c r="A213" s="32" t="str">
        <f>"          (j) Month of 2nd Non-Standard CR Payment in " &amp;year</f>
        <v xml:space="preserve">          (j) Month of 2nd Non-Standard CR Payment in 2021</v>
      </c>
      <c r="B213" s="54"/>
      <c r="C213" s="54"/>
      <c r="D213" s="54"/>
      <c r="E213" s="120" t="s">
        <v>75</v>
      </c>
      <c r="F213" s="54"/>
      <c r="G213" s="54"/>
      <c r="H213" s="54"/>
      <c r="I213" s="54"/>
      <c r="J213" s="54"/>
      <c r="K213" s="54"/>
      <c r="L213" s="54"/>
    </row>
    <row r="214" spans="1:15" s="4" customFormat="1" ht="15" thickBot="1" x14ac:dyDescent="0.4">
      <c r="A214" s="32" t="str">
        <f>"          (k) 3rd Expected Non-Standard CR Payment made in " &amp;year</f>
        <v xml:space="preserve">          (k) 3rd Expected Non-Standard CR Payment made in 2021</v>
      </c>
      <c r="B214" s="54"/>
      <c r="C214" s="54"/>
      <c r="D214" s="54"/>
      <c r="E214" s="82">
        <v>0</v>
      </c>
      <c r="F214" s="54"/>
      <c r="G214" s="54"/>
      <c r="H214" s="54"/>
      <c r="I214" s="54"/>
      <c r="J214" s="54"/>
      <c r="K214" s="54"/>
      <c r="L214" s="54"/>
    </row>
    <row r="215" spans="1:15" s="4" customFormat="1" ht="15" thickBot="1" x14ac:dyDescent="0.4">
      <c r="A215" s="32" t="str">
        <f>"          (l) Month of 3rd Non-Standard CR Payment in " &amp;year</f>
        <v xml:space="preserve">          (l) Month of 3rd Non-Standard CR Payment in 2021</v>
      </c>
      <c r="B215" s="54"/>
      <c r="C215" s="54"/>
      <c r="D215" s="54"/>
      <c r="E215" s="120" t="s">
        <v>75</v>
      </c>
      <c r="F215" s="54"/>
      <c r="G215" s="54"/>
      <c r="H215" s="54"/>
      <c r="I215" s="54"/>
      <c r="J215" s="54"/>
      <c r="K215" s="54"/>
      <c r="L215" s="54"/>
    </row>
    <row r="216" spans="1:15" ht="15" thickBot="1" x14ac:dyDescent="0.4">
      <c r="E216" s="65"/>
    </row>
    <row r="217" spans="1:15" ht="15" thickBot="1" x14ac:dyDescent="0.4">
      <c r="A217" s="32" t="str">
        <f>"      (2) Claims Paid During the Last 6 Months of " &amp;year-2</f>
        <v xml:space="preserve">      (2) Claims Paid During the Last 6 Months of 2019</v>
      </c>
      <c r="E217" s="82"/>
    </row>
    <row r="220" spans="1:15" x14ac:dyDescent="0.35">
      <c r="A220" s="32" t="str">
        <f>"15. " &amp;year-1&amp; " Contingency Payment, Int. &amp; Inv. Income, and Reserve Calculation"</f>
        <v>15. 2020 Contingency Payment, Int. &amp; Inv. Income, and Reserve Calculation</v>
      </c>
    </row>
    <row r="221" spans="1:15" x14ac:dyDescent="0.35">
      <c r="A221" s="32"/>
    </row>
    <row r="222" spans="1:15" x14ac:dyDescent="0.35">
      <c r="A222" s="32" t="str">
        <f>"          (a) Contingency Reserve "</f>
        <v xml:space="preserve">          (a) Contingency Reserve </v>
      </c>
    </row>
    <row r="223" spans="1:15" x14ac:dyDescent="0.35">
      <c r="A223" s="32" t="str">
        <f>"                   (1) Contingency Reserve Balance on 12/31/" &amp;year-2</f>
        <v xml:space="preserve">                   (1) Contingency Reserve Balance on 12/31/2019</v>
      </c>
      <c r="F223" s="55">
        <f>E198</f>
        <v>0</v>
      </c>
    </row>
    <row r="224" spans="1:15" x14ac:dyDescent="0.35">
      <c r="A224" s="32" t="str">
        <f>"                   (2) Claims Paid During the Last 6 Months of " &amp;year-2</f>
        <v xml:space="preserve">                   (2) Claims Paid During the Last 6 Months of 2019</v>
      </c>
      <c r="F224" s="55">
        <f>E217</f>
        <v>0</v>
      </c>
    </row>
    <row r="225" spans="1:12" x14ac:dyDescent="0.35">
      <c r="A225" s="32" t="str">
        <f>"                   (3) Paid Expenses for " &amp;year-2</f>
        <v xml:space="preserve">                   (3) Paid Expenses for 2019</v>
      </c>
      <c r="F225" s="55">
        <f>C178+E178</f>
        <v>0</v>
      </c>
    </row>
    <row r="226" spans="1:12" x14ac:dyDescent="0.35">
      <c r="A226" s="32" t="str">
        <f>"                   (4) Three and One-Half Months of Paid Outgo"</f>
        <v xml:space="preserve">                   (4) Three and One-Half Months of Paid Outgo</v>
      </c>
      <c r="F226" s="55">
        <f>(7/12*F224)+(7/24*F225)</f>
        <v>0</v>
      </c>
    </row>
    <row r="227" spans="1:12" x14ac:dyDescent="0.35">
      <c r="A227" s="32" t="str">
        <f>"                   (5) Preferred Minimum Balance"</f>
        <v xml:space="preserve">                   (5) Preferred Minimum Balance</v>
      </c>
      <c r="F227" s="55">
        <f>3/7*F226</f>
        <v>0</v>
      </c>
    </row>
    <row r="228" spans="1:12" x14ac:dyDescent="0.35">
      <c r="A228" s="32" t="str">
        <f>"                   (6) Accrued Claims Reserve + Accrued Exp Reserve + Special Reserve 12/31/"&amp;year-2</f>
        <v xml:space="preserve">                   (6) Accrued Claims Reserve + Accrued Exp Reserve + Special Reserve 12/31/2019</v>
      </c>
      <c r="F228" s="55">
        <f>F165+F163+F167</f>
        <v>0</v>
      </c>
    </row>
    <row r="229" spans="1:12" x14ac:dyDescent="0.35">
      <c r="A229" s="32" t="str">
        <f>"                   (7) " &amp;year-1&amp; " Contingency Reserve Payment to LOCA/(LOCA Payment to CR)"</f>
        <v xml:space="preserve">                   (7) 2020 Contingency Reserve Payment to LOCA/(LOCA Payment to CR)</v>
      </c>
      <c r="F229" s="212">
        <f>IF(ThreeNoSpecialPayment1,IF(F228&gt;F226,-(F228-F226),MIN(F226-F228,F223-F227)),E204+E206+E208)</f>
        <v>0</v>
      </c>
      <c r="G229" s="202"/>
      <c r="H229" s="202"/>
    </row>
    <row r="230" spans="1:12" x14ac:dyDescent="0.35">
      <c r="A230" s="207" t="str">
        <f>"                   (8) " &amp;year-1&amp; " Payments to Contingency Reserve Fund"</f>
        <v xml:space="preserve">                   (8) 2020 Payments to Contingency Reserve Fund</v>
      </c>
      <c r="B230" s="202"/>
      <c r="C230" s="202"/>
      <c r="D230" s="202"/>
      <c r="E230" s="202"/>
      <c r="F230" s="208">
        <f>F40*(0.04-OPMadmin)</f>
        <v>0</v>
      </c>
      <c r="G230" s="202"/>
      <c r="H230" s="202"/>
      <c r="I230" s="202"/>
      <c r="J230" s="202"/>
      <c r="K230" s="202"/>
      <c r="L230" s="202"/>
    </row>
    <row r="231" spans="1:12" x14ac:dyDescent="0.35">
      <c r="A231" s="207" t="str">
        <f>"                   (9) " &amp;year-1&amp; " Interest on Contingency Reserve Fund"</f>
        <v xml:space="preserve">                   (9) 2020 Interest on Contingency Reserve Fund</v>
      </c>
      <c r="B231" s="202"/>
      <c r="C231" s="202"/>
      <c r="D231" s="202"/>
      <c r="E231" s="202"/>
      <c r="F231" s="208">
        <f>IF(ThreeNoSpecialPayment1,Yr1CR*(F223+0.5*F230-0.25*F229),Yr1CR*(F223+0.5*F230-(((12.5-T1)/12)*E204+((12.5-T2)/12)*E206+((12.5-T3)/12)*E208)))</f>
        <v>0</v>
      </c>
      <c r="G231" s="208"/>
      <c r="H231" s="202"/>
      <c r="I231" s="202"/>
      <c r="J231" s="202"/>
      <c r="K231" s="202"/>
      <c r="L231" s="202"/>
    </row>
    <row r="232" spans="1:12" x14ac:dyDescent="0.35">
      <c r="A232" s="32" t="str">
        <f>"                 (10) 12/31/" &amp;year-1&amp; " Contingency Reserve Balance"</f>
        <v xml:space="preserve">                 (10) 12/31/2020 Contingency Reserve Balance</v>
      </c>
      <c r="B232" s="202"/>
      <c r="C232" s="202"/>
      <c r="D232" s="202"/>
      <c r="E232" s="202"/>
      <c r="F232" s="212">
        <f>F223+F230+F231-F229</f>
        <v>0</v>
      </c>
      <c r="G232" s="212"/>
      <c r="H232" s="202"/>
      <c r="I232" s="202"/>
      <c r="J232" s="202"/>
      <c r="K232" s="202"/>
      <c r="L232" s="202"/>
    </row>
    <row r="233" spans="1:12" x14ac:dyDescent="0.35">
      <c r="A233" s="32"/>
      <c r="B233" s="202"/>
      <c r="C233" s="202"/>
      <c r="D233" s="202"/>
      <c r="E233" s="202"/>
      <c r="F233" s="202"/>
      <c r="G233" s="202"/>
      <c r="H233" s="202"/>
      <c r="I233" s="202"/>
      <c r="J233" s="202"/>
      <c r="K233" s="202"/>
      <c r="L233" s="202"/>
    </row>
    <row r="234" spans="1:12" x14ac:dyDescent="0.35">
      <c r="A234" s="32" t="str">
        <f>"          (b) Estimated Interest Plus Investment Income "</f>
        <v xml:space="preserve">          (b) Estimated Interest Plus Investment Income </v>
      </c>
      <c r="B234" s="202"/>
      <c r="C234" s="202"/>
      <c r="D234" s="202"/>
      <c r="E234" s="202"/>
      <c r="F234" s="202"/>
      <c r="G234" s="202"/>
      <c r="H234" s="202"/>
      <c r="I234" s="202"/>
      <c r="J234" s="202"/>
      <c r="K234" s="202"/>
      <c r="L234" s="202"/>
    </row>
    <row r="235" spans="1:12" x14ac:dyDescent="0.35">
      <c r="A235" s="32" t="str">
        <f>"                   (1) Accrued Claims Reserve + Accrued Exp Reserve + Special Reserve 12/31/"&amp;year-2</f>
        <v xml:space="preserve">                   (1) Accrued Claims Reserve + Accrued Exp Reserve + Special Reserve 12/31/2019</v>
      </c>
      <c r="B235" s="202"/>
      <c r="C235" s="202"/>
      <c r="D235" s="202"/>
      <c r="E235" s="202"/>
      <c r="F235" s="212">
        <f>F228</f>
        <v>0</v>
      </c>
      <c r="G235" s="202"/>
      <c r="H235" s="202"/>
      <c r="I235" s="202"/>
      <c r="J235" s="202"/>
      <c r="K235" s="202"/>
      <c r="L235" s="202"/>
    </row>
    <row r="236" spans="1:12" x14ac:dyDescent="0.35">
      <c r="A236" s="32" t="str">
        <f>"                   (2) Premium Income Accrued but Unpaid 12/31/" &amp;year-2</f>
        <v xml:space="preserve">                   (2) Premium Income Accrued but Unpaid 12/31/2019</v>
      </c>
      <c r="B236" s="202"/>
      <c r="C236" s="202"/>
      <c r="D236" s="202"/>
      <c r="E236" s="202"/>
      <c r="F236" s="212">
        <f>I14</f>
        <v>0</v>
      </c>
      <c r="G236" s="202"/>
      <c r="H236" s="202"/>
      <c r="I236" s="202"/>
      <c r="J236" s="202"/>
      <c r="K236" s="202"/>
      <c r="L236" s="202"/>
    </row>
    <row r="237" spans="1:12" x14ac:dyDescent="0.35">
      <c r="A237" s="207" t="str">
        <f>"                   (3) " &amp;year-1&amp; " Contingency Reserve Payment to LOCA/(LOCA Payment to CR)"</f>
        <v xml:space="preserve">                   (3) 2020 Contingency Reserve Payment to LOCA/(LOCA Payment to CR)</v>
      </c>
      <c r="B237" s="202"/>
      <c r="C237" s="202"/>
      <c r="D237" s="202"/>
      <c r="E237" s="202"/>
      <c r="F237" s="212">
        <f>F229</f>
        <v>0</v>
      </c>
      <c r="G237" s="202"/>
      <c r="H237" s="202"/>
      <c r="I237" s="202"/>
      <c r="J237" s="202"/>
      <c r="K237" s="202"/>
      <c r="L237" s="202"/>
    </row>
    <row r="238" spans="1:12" x14ac:dyDescent="0.35">
      <c r="A238" s="32" t="str">
        <f>"                   (4) " &amp;year-1&amp; " Total Premium Income"</f>
        <v xml:space="preserve">                   (4) 2020 Total Premium Income</v>
      </c>
      <c r="B238" s="202"/>
      <c r="C238" s="202"/>
      <c r="D238" s="202"/>
      <c r="E238" s="202"/>
      <c r="F238" s="208">
        <f>G40</f>
        <v>0</v>
      </c>
      <c r="G238" s="202"/>
      <c r="H238" s="202"/>
      <c r="I238" s="202"/>
      <c r="J238" s="202"/>
      <c r="K238" s="202"/>
      <c r="L238" s="202"/>
    </row>
    <row r="239" spans="1:12" x14ac:dyDescent="0.35">
      <c r="A239" s="32" t="str">
        <f>"                   (5) " &amp;year-1&amp; " Estimated Paid Claims"</f>
        <v xml:space="preserve">                   (5) 2020 Estimated Paid Claims</v>
      </c>
      <c r="B239" s="202"/>
      <c r="C239" s="202"/>
      <c r="D239" s="202"/>
      <c r="E239" s="202"/>
      <c r="F239" s="212" t="e">
        <f>G80*G157+(1-G80)*G156</f>
        <v>#DIV/0!</v>
      </c>
      <c r="G239" s="202"/>
      <c r="H239" s="202"/>
      <c r="I239" s="202"/>
      <c r="J239" s="202"/>
      <c r="K239" s="202"/>
      <c r="L239" s="202"/>
    </row>
    <row r="240" spans="1:12" x14ac:dyDescent="0.35">
      <c r="A240" s="32" t="str">
        <f>"                   (6) " &amp;year-1&amp; " Paid Expenses"</f>
        <v xml:space="preserve">                   (6) 2020 Paid Expenses</v>
      </c>
      <c r="B240" s="202"/>
      <c r="C240" s="202"/>
      <c r="D240" s="202"/>
      <c r="E240" s="202"/>
      <c r="F240" s="212">
        <f>C179+E179</f>
        <v>0</v>
      </c>
      <c r="G240" s="202"/>
      <c r="H240" s="202"/>
      <c r="I240" s="202"/>
      <c r="J240" s="202"/>
      <c r="K240" s="202"/>
      <c r="L240" s="202"/>
    </row>
    <row r="241" spans="1:12" x14ac:dyDescent="0.35">
      <c r="A241" s="207" t="str">
        <f>"                   (7) " &amp;year-1&amp; " Average Investment Balance"</f>
        <v xml:space="preserve">                   (7) 2020 Average Investment Balance</v>
      </c>
      <c r="B241" s="202"/>
      <c r="C241" s="202"/>
      <c r="D241" s="202"/>
      <c r="E241" s="202"/>
      <c r="F241" s="212" t="e">
        <f>IF(ThreeNoSpecialPayment1,F235-F236+0.25*F237+0.5*(F238-F239-F240),F235-F236+0.5*(F238-F239-F240)+(((12.5-T1)/12)*E204+((12.5-T2)/12)*E206+((12.5-T3)/12)*E208))</f>
        <v>#DIV/0!</v>
      </c>
      <c r="G241" s="202"/>
      <c r="H241" s="202"/>
      <c r="I241" s="202"/>
      <c r="J241" s="202"/>
      <c r="K241" s="202"/>
      <c r="L241" s="202"/>
    </row>
    <row r="242" spans="1:12" x14ac:dyDescent="0.35">
      <c r="A242" s="32" t="str">
        <f>"                   (8) " &amp;year-1&amp; " Estimated Interest Plus Investment Income"</f>
        <v xml:space="preserve">                   (8) 2020 Estimated Interest Plus Investment Income</v>
      </c>
      <c r="B242" s="202"/>
      <c r="C242" s="202"/>
      <c r="D242" s="202"/>
      <c r="E242" s="202"/>
      <c r="F242" s="208" t="e">
        <f>Yr1LOC*F241</f>
        <v>#DIV/0!</v>
      </c>
      <c r="G242" s="202"/>
      <c r="H242" s="202"/>
      <c r="I242" s="202"/>
      <c r="J242" s="202"/>
      <c r="K242" s="202"/>
      <c r="L242" s="202"/>
    </row>
    <row r="243" spans="1:12" x14ac:dyDescent="0.35">
      <c r="A243" s="32"/>
      <c r="B243" s="202"/>
      <c r="C243" s="202"/>
      <c r="D243" s="202"/>
      <c r="E243" s="202"/>
      <c r="F243" s="202"/>
      <c r="G243" s="202"/>
      <c r="H243" s="202"/>
      <c r="I243" s="202"/>
      <c r="J243" s="202"/>
      <c r="K243" s="202"/>
      <c r="L243" s="202"/>
    </row>
    <row r="244" spans="1:12" x14ac:dyDescent="0.35">
      <c r="A244" s="32" t="str">
        <f>"          (c) Special Reserve - " &amp;year-1</f>
        <v xml:space="preserve">          (c) Special Reserve - 2020</v>
      </c>
      <c r="B244" s="202"/>
      <c r="C244" s="202"/>
      <c r="D244" s="202"/>
      <c r="E244" s="202"/>
      <c r="F244" s="202"/>
      <c r="G244" s="202"/>
      <c r="H244" s="202"/>
      <c r="I244" s="202"/>
      <c r="J244" s="202"/>
      <c r="K244" s="202"/>
      <c r="L244" s="202"/>
    </row>
    <row r="245" spans="1:12" x14ac:dyDescent="0.35">
      <c r="A245" s="32" t="str">
        <f>"                   (1) Income"</f>
        <v xml:space="preserve">                   (1) Income</v>
      </c>
      <c r="B245" s="202"/>
      <c r="C245" s="202"/>
      <c r="D245" s="202"/>
      <c r="E245" s="202"/>
      <c r="F245" s="202"/>
      <c r="G245" s="202"/>
      <c r="H245" s="202"/>
      <c r="I245" s="202"/>
      <c r="J245" s="202"/>
      <c r="K245" s="202"/>
      <c r="L245" s="202"/>
    </row>
    <row r="246" spans="1:12" x14ac:dyDescent="0.35">
      <c r="A246" s="32" t="str">
        <f>"                           (a) Premium Income"</f>
        <v xml:space="preserve">                           (a) Premium Income</v>
      </c>
      <c r="B246" s="202"/>
      <c r="C246" s="202"/>
      <c r="D246" s="202"/>
      <c r="E246" s="202"/>
      <c r="F246" s="208">
        <f>F238</f>
        <v>0</v>
      </c>
      <c r="G246" s="202"/>
      <c r="H246" s="202"/>
      <c r="I246" s="202"/>
      <c r="J246" s="202"/>
      <c r="K246" s="202"/>
      <c r="L246" s="202"/>
    </row>
    <row r="247" spans="1:12" x14ac:dyDescent="0.35">
      <c r="A247" s="207" t="str">
        <f>"                           (b) Contingency Reserve Payment to LOCA/(LOCA Payment to CR)"</f>
        <v xml:space="preserve">                           (b) Contingency Reserve Payment to LOCA/(LOCA Payment to CR)</v>
      </c>
      <c r="B247" s="202"/>
      <c r="C247" s="202"/>
      <c r="D247" s="202"/>
      <c r="E247" s="202"/>
      <c r="F247" s="212">
        <f>F229</f>
        <v>0</v>
      </c>
      <c r="G247" s="202"/>
      <c r="H247" s="202"/>
      <c r="I247" s="202"/>
      <c r="J247" s="202"/>
      <c r="K247" s="202"/>
      <c r="L247" s="202"/>
    </row>
    <row r="248" spans="1:12" x14ac:dyDescent="0.35">
      <c r="A248" s="32" t="str">
        <f>"                           (c) Estimated Interest + Investment Income"</f>
        <v xml:space="preserve">                           (c) Estimated Interest + Investment Income</v>
      </c>
      <c r="B248" s="202"/>
      <c r="C248" s="202"/>
      <c r="D248" s="202"/>
      <c r="E248" s="202"/>
      <c r="F248" s="212" t="e">
        <f>F242</f>
        <v>#DIV/0!</v>
      </c>
      <c r="G248" s="202"/>
      <c r="H248" s="202"/>
      <c r="I248" s="202"/>
      <c r="J248" s="202"/>
      <c r="K248" s="202"/>
      <c r="L248" s="202"/>
    </row>
    <row r="249" spans="1:12" x14ac:dyDescent="0.35">
      <c r="A249" s="32" t="str">
        <f>"                           (d) Total"</f>
        <v xml:space="preserve">                           (d) Total</v>
      </c>
      <c r="B249" s="202"/>
      <c r="C249" s="202"/>
      <c r="D249" s="202"/>
      <c r="E249" s="202"/>
      <c r="F249" s="208" t="e">
        <f>SUM(F246:F248)</f>
        <v>#DIV/0!</v>
      </c>
      <c r="G249" s="202"/>
      <c r="H249" s="202"/>
      <c r="I249" s="202"/>
      <c r="J249" s="202"/>
      <c r="K249" s="202"/>
      <c r="L249" s="202"/>
    </row>
    <row r="250" spans="1:12" x14ac:dyDescent="0.35">
      <c r="A250" s="32" t="str">
        <f>"                   (2) Outgo"</f>
        <v xml:space="preserve">                   (2) Outgo</v>
      </c>
      <c r="B250" s="202"/>
      <c r="C250" s="202"/>
      <c r="D250" s="202"/>
      <c r="E250" s="202"/>
      <c r="F250" s="202"/>
      <c r="G250" s="202"/>
      <c r="H250" s="202"/>
      <c r="I250" s="202"/>
      <c r="J250" s="202"/>
      <c r="K250" s="202"/>
      <c r="L250" s="202"/>
    </row>
    <row r="251" spans="1:12" s="202" customFormat="1" x14ac:dyDescent="0.35">
      <c r="A251" s="32" t="str">
        <f>"                           (a) Incurred Claims"</f>
        <v xml:space="preserve">                           (a) Incurred Claims</v>
      </c>
      <c r="F251" s="212" t="e">
        <f>G157</f>
        <v>#DIV/0!</v>
      </c>
    </row>
    <row r="252" spans="1:12" s="202" customFormat="1" x14ac:dyDescent="0.35">
      <c r="A252" s="32" t="str">
        <f>"                           (b) Incurred Expenses"</f>
        <v xml:space="preserve">                           (b) Incurred Expenses</v>
      </c>
      <c r="F252" s="212" t="e">
        <f>C186+E179</f>
        <v>#DIV/0!</v>
      </c>
    </row>
    <row r="253" spans="1:12" s="202" customFormat="1" x14ac:dyDescent="0.35">
      <c r="A253" s="32" t="str">
        <f>"                           (c) Total"</f>
        <v xml:space="preserve">                           (c) Total</v>
      </c>
      <c r="F253" s="212" t="e">
        <f>SUM(F251:F252)</f>
        <v>#DIV/0!</v>
      </c>
    </row>
    <row r="254" spans="1:12" s="202" customFormat="1" x14ac:dyDescent="0.35">
      <c r="A254" s="32" t="str">
        <f>"                   (3) Gain(Loss)"</f>
        <v xml:space="preserve">                   (3) Gain(Loss)</v>
      </c>
      <c r="B254" s="54"/>
      <c r="C254" s="54"/>
      <c r="D254" s="54"/>
      <c r="E254" s="54"/>
      <c r="F254" s="55" t="e">
        <f>F249-F253</f>
        <v>#DIV/0!</v>
      </c>
      <c r="G254" s="54"/>
      <c r="H254" s="54"/>
      <c r="I254" s="54"/>
      <c r="J254" s="54"/>
      <c r="K254" s="54"/>
      <c r="L254" s="54"/>
    </row>
    <row r="255" spans="1:12" s="202" customFormat="1" x14ac:dyDescent="0.35">
      <c r="A255" s="32" t="str">
        <f>"                   (4) Reserves"</f>
        <v xml:space="preserve">                   (4) Reserves</v>
      </c>
      <c r="B255" s="54"/>
      <c r="C255" s="54"/>
      <c r="D255" s="54"/>
      <c r="E255" s="54"/>
      <c r="F255" s="54"/>
      <c r="G255" s="54"/>
      <c r="H255" s="54"/>
      <c r="I255" s="54"/>
      <c r="J255" s="54"/>
      <c r="K255" s="54"/>
      <c r="L255" s="54"/>
    </row>
    <row r="256" spans="1:12" s="202" customFormat="1" x14ac:dyDescent="0.35">
      <c r="A256" s="32" t="str">
        <f>"                           (a) Beginning Special"</f>
        <v xml:space="preserve">                           (a) Beginning Special</v>
      </c>
      <c r="B256" s="54"/>
      <c r="C256" s="54"/>
      <c r="D256" s="54"/>
      <c r="E256" s="54"/>
      <c r="F256" s="55">
        <f>F167</f>
        <v>0</v>
      </c>
      <c r="G256" s="54"/>
      <c r="H256" s="54"/>
      <c r="I256" s="54"/>
      <c r="J256" s="54"/>
      <c r="K256" s="54"/>
      <c r="L256" s="54"/>
    </row>
    <row r="257" spans="1:12" s="202" customFormat="1" x14ac:dyDescent="0.35">
      <c r="A257" s="32" t="str">
        <f>"                           (b) Ending Special"</f>
        <v xml:space="preserve">                           (b) Ending Special</v>
      </c>
      <c r="B257" s="54"/>
      <c r="C257" s="54"/>
      <c r="D257" s="54"/>
      <c r="E257" s="54"/>
      <c r="F257" s="55" t="e">
        <f>F256+F254</f>
        <v>#DIV/0!</v>
      </c>
      <c r="G257" s="57"/>
      <c r="H257" s="54"/>
      <c r="I257" s="54"/>
      <c r="J257" s="54"/>
      <c r="K257" s="54"/>
      <c r="L257" s="54"/>
    </row>
    <row r="258" spans="1:12" s="202" customFormat="1" x14ac:dyDescent="0.35">
      <c r="A258" s="32"/>
      <c r="B258" s="54"/>
      <c r="C258" s="54"/>
      <c r="D258" s="54"/>
      <c r="E258" s="54"/>
      <c r="F258" s="54"/>
      <c r="G258" s="54"/>
      <c r="H258" s="54"/>
      <c r="I258" s="54"/>
      <c r="J258" s="54"/>
      <c r="K258" s="54"/>
      <c r="L258" s="54"/>
    </row>
    <row r="259" spans="1:12" s="202" customFormat="1" x14ac:dyDescent="0.35">
      <c r="A259" s="32" t="str">
        <f>"16. " &amp;year&amp; " Contingency Payment, Int. &amp; Inv. Income, and Reserve Calculation"</f>
        <v>16. 2021 Contingency Payment, Int. &amp; Inv. Income, and Reserve Calculation</v>
      </c>
      <c r="B259" s="54"/>
      <c r="C259" s="54"/>
      <c r="D259" s="54"/>
      <c r="E259" s="54"/>
      <c r="F259" s="54"/>
      <c r="G259" s="54"/>
      <c r="H259" s="54"/>
      <c r="I259" s="54"/>
      <c r="J259" s="54"/>
      <c r="K259" s="54"/>
      <c r="L259" s="54"/>
    </row>
    <row r="260" spans="1:12" s="202" customFormat="1" x14ac:dyDescent="0.35">
      <c r="A260" s="32"/>
      <c r="B260" s="54"/>
      <c r="C260" s="54"/>
      <c r="D260" s="54"/>
      <c r="E260" s="54"/>
      <c r="F260" s="54"/>
      <c r="G260" s="54"/>
      <c r="H260" s="54"/>
      <c r="I260" s="54"/>
      <c r="J260" s="54"/>
      <c r="K260" s="54"/>
      <c r="L260" s="54"/>
    </row>
    <row r="261" spans="1:12" s="202" customFormat="1" x14ac:dyDescent="0.35">
      <c r="A261" s="32" t="str">
        <f>"          (a) Contingency Reserve "</f>
        <v xml:space="preserve">          (a) Contingency Reserve </v>
      </c>
      <c r="B261" s="54"/>
      <c r="C261" s="54"/>
      <c r="D261" s="54"/>
      <c r="E261" s="54"/>
      <c r="F261" s="54"/>
      <c r="G261" s="54"/>
      <c r="H261" s="54"/>
      <c r="I261" s="54"/>
      <c r="J261" s="54"/>
      <c r="K261" s="54"/>
      <c r="L261" s="54"/>
    </row>
    <row r="262" spans="1:12" s="202" customFormat="1" x14ac:dyDescent="0.35">
      <c r="A262" s="32" t="str">
        <f>"                   (1) Contingency Reserve Balance on 12/31/" &amp;year-1</f>
        <v xml:space="preserve">                   (1) Contingency Reserve Balance on 12/31/2020</v>
      </c>
      <c r="B262" s="54"/>
      <c r="C262" s="54"/>
      <c r="D262" s="54"/>
      <c r="E262" s="54"/>
      <c r="F262" s="212">
        <f>F232</f>
        <v>0</v>
      </c>
      <c r="G262" s="54"/>
      <c r="H262" s="54"/>
      <c r="I262" s="54"/>
      <c r="J262" s="54"/>
      <c r="K262" s="54"/>
      <c r="L262" s="54"/>
    </row>
    <row r="263" spans="1:12" s="202" customFormat="1" x14ac:dyDescent="0.35">
      <c r="A263" s="32" t="str">
        <f>"                   (2) Claims Paid During the Last 6 Months of " &amp;year-1</f>
        <v xml:space="preserve">                   (2) Claims Paid During the Last 6 Months of 2020</v>
      </c>
      <c r="B263" s="54"/>
      <c r="C263" s="54"/>
      <c r="D263" s="54"/>
      <c r="E263" s="54"/>
      <c r="F263" s="212" t="e">
        <f>F224*(G157/G156)</f>
        <v>#DIV/0!</v>
      </c>
      <c r="G263" s="54"/>
      <c r="H263" s="54"/>
      <c r="I263" s="54"/>
      <c r="J263" s="54"/>
      <c r="K263" s="54"/>
      <c r="L263" s="54"/>
    </row>
    <row r="264" spans="1:12" s="202" customFormat="1" x14ac:dyDescent="0.35">
      <c r="A264" s="32" t="str">
        <f>"                   (3) Paid Expenses for " &amp;year-1</f>
        <v xml:space="preserve">                   (3) Paid Expenses for 2020</v>
      </c>
      <c r="B264" s="54"/>
      <c r="C264" s="54"/>
      <c r="D264" s="54"/>
      <c r="E264" s="54"/>
      <c r="F264" s="212">
        <f>C179+E179</f>
        <v>0</v>
      </c>
      <c r="G264" s="54"/>
      <c r="H264" s="54"/>
      <c r="I264" s="54"/>
      <c r="J264" s="54"/>
      <c r="K264" s="54"/>
      <c r="L264" s="54"/>
    </row>
    <row r="265" spans="1:12" s="202" customFormat="1" x14ac:dyDescent="0.35">
      <c r="A265" s="32" t="str">
        <f>"                   (4) Three and One-Half Months of Paid Outgo"</f>
        <v xml:space="preserve">                   (4) Three and One-Half Months of Paid Outgo</v>
      </c>
      <c r="B265" s="54"/>
      <c r="C265" s="54"/>
      <c r="D265" s="54"/>
      <c r="E265" s="54"/>
      <c r="F265" s="212" t="e">
        <f>(7/12)*F263 + (7/24)*F264</f>
        <v>#DIV/0!</v>
      </c>
      <c r="G265" s="54"/>
      <c r="H265" s="54"/>
      <c r="I265" s="54"/>
      <c r="J265" s="54"/>
      <c r="K265" s="54"/>
      <c r="L265" s="54"/>
    </row>
    <row r="266" spans="1:12" s="202" customFormat="1" x14ac:dyDescent="0.35">
      <c r="A266" s="32" t="str">
        <f>"                   (5) Preferred Minimum Balance"</f>
        <v xml:space="preserve">                   (5) Preferred Minimum Balance</v>
      </c>
      <c r="B266" s="54"/>
      <c r="C266" s="54"/>
      <c r="D266" s="54"/>
      <c r="E266" s="54"/>
      <c r="F266" s="212" t="e">
        <f>(3/7)*F265</f>
        <v>#DIV/0!</v>
      </c>
      <c r="G266" s="54"/>
      <c r="H266" s="54"/>
      <c r="I266" s="54"/>
      <c r="J266" s="54"/>
      <c r="K266" s="54"/>
      <c r="L266" s="54"/>
    </row>
    <row r="267" spans="1:12" s="202" customFormat="1" x14ac:dyDescent="0.35">
      <c r="A267" s="32" t="str">
        <f>"                   (6) Accrued Claims Reserve + Accrued Exp Reserve + Special Reserve 12/31/"&amp;year-1</f>
        <v xml:space="preserve">                   (6) Accrued Claims Reserve + Accrued Exp Reserve + Special Reserve 12/31/2020</v>
      </c>
      <c r="B267" s="54"/>
      <c r="C267" s="54"/>
      <c r="D267" s="54"/>
      <c r="E267" s="54"/>
      <c r="F267" s="212" t="e">
        <f>F171+E186+F257</f>
        <v>#DIV/0!</v>
      </c>
      <c r="G267" s="54"/>
      <c r="H267" s="54"/>
      <c r="I267" s="54"/>
      <c r="J267" s="54"/>
      <c r="K267" s="54"/>
      <c r="L267" s="54"/>
    </row>
    <row r="268" spans="1:12" s="202" customFormat="1" x14ac:dyDescent="0.35">
      <c r="A268" s="32" t="str">
        <f>"                   (7) " &amp;year&amp; " Contingency Reserve Payment to LOCA/(LOCA Payment to CR)"</f>
        <v xml:space="preserve">                   (7) 2021 Contingency Reserve Payment to LOCA/(LOCA Payment to CR)</v>
      </c>
      <c r="B268" s="54"/>
      <c r="C268" s="54"/>
      <c r="D268" s="54"/>
      <c r="E268" s="54"/>
      <c r="F268" s="212" t="e">
        <f>IF(ThreeNoSpecialPayment2,IF(F267&gt;F265,-(F267-F265),MIN(F265-F267,F262-F266)),E210+E212+E214)</f>
        <v>#DIV/0!</v>
      </c>
      <c r="I268" s="54"/>
      <c r="J268" s="54"/>
      <c r="K268" s="54"/>
      <c r="L268" s="54"/>
    </row>
    <row r="269" spans="1:12" s="202" customFormat="1" x14ac:dyDescent="0.35">
      <c r="A269" s="207" t="str">
        <f>"                   (8) " &amp;year&amp; " Payments to Contingency Reserve Fund"</f>
        <v xml:space="preserve">                   (8) 2021 Payments to Contingency Reserve Fund</v>
      </c>
      <c r="F269" s="212">
        <f>F45*(0.04-OPMadmin)</f>
        <v>0</v>
      </c>
    </row>
    <row r="270" spans="1:12" s="202" customFormat="1" x14ac:dyDescent="0.35">
      <c r="A270" s="207" t="str">
        <f>"                   (9) " &amp;year&amp; " Interest on Contingency Reserve Fund"</f>
        <v xml:space="preserve">                   (9) 2021 Interest on Contingency Reserve Fund</v>
      </c>
      <c r="F270" s="212" t="e">
        <f>IF(ThreeNoSpecialPayment2,Yr2CR*(F262+0.5*F269-0.25*F268),Yr2CR*(F262+0.5*F269-(((12.5-T4)/12)*E210+((12.5-T5)/12)*E212+((12.5-T6)/12)*E214)))</f>
        <v>#DIV/0!</v>
      </c>
    </row>
    <row r="271" spans="1:12" s="202" customFormat="1" x14ac:dyDescent="0.35">
      <c r="A271" s="32" t="str">
        <f>"                 (10) 12/31/" &amp;year&amp; " Contingency Reserve Balance"</f>
        <v xml:space="preserve">                 (10) 12/31/2021 Contingency Reserve Balance</v>
      </c>
      <c r="F271" s="212" t="e">
        <f>F262+F269+F270-F268</f>
        <v>#DIV/0!</v>
      </c>
    </row>
    <row r="272" spans="1:12" s="202" customFormat="1" x14ac:dyDescent="0.35">
      <c r="A272" s="32"/>
    </row>
    <row r="273" spans="1:12" s="202" customFormat="1" x14ac:dyDescent="0.35">
      <c r="A273" s="32" t="str">
        <f>"          (b) Estimated Interest Plus Investment Income "</f>
        <v xml:space="preserve">          (b) Estimated Interest Plus Investment Income </v>
      </c>
    </row>
    <row r="274" spans="1:12" s="202" customFormat="1" x14ac:dyDescent="0.35">
      <c r="A274" s="32" t="str">
        <f>"                   (1) Accrued Claims Reserve + Accrued Exp Reserve + Special Reserve 12/31/"&amp;year-1</f>
        <v xml:space="preserve">                   (1) Accrued Claims Reserve + Accrued Exp Reserve + Special Reserve 12/31/2020</v>
      </c>
      <c r="F274" s="212" t="e">
        <f>F267</f>
        <v>#DIV/0!</v>
      </c>
    </row>
    <row r="275" spans="1:12" x14ac:dyDescent="0.35">
      <c r="A275" s="32" t="str">
        <f>"                   (2) Premium Income Accrued but Unpaid 12/31/" &amp;year-1</f>
        <v xml:space="preserve">                   (2) Premium Income Accrued but Unpaid 12/31/2020</v>
      </c>
      <c r="B275" s="202"/>
      <c r="C275" s="202"/>
      <c r="D275" s="202"/>
      <c r="E275" s="202"/>
      <c r="F275" s="212" t="e">
        <f>F236*(G40/G35)</f>
        <v>#DIV/0!</v>
      </c>
      <c r="G275" s="202"/>
      <c r="H275" s="202"/>
      <c r="I275" s="202"/>
      <c r="J275" s="202"/>
      <c r="K275" s="202"/>
      <c r="L275" s="202"/>
    </row>
    <row r="276" spans="1:12" x14ac:dyDescent="0.35">
      <c r="A276" s="207" t="str">
        <f>"                   (3) " &amp;year&amp; " Contingency Reserve Payment to LOCA/(LOCA Payment to CR)"</f>
        <v xml:space="preserve">                   (3) 2021 Contingency Reserve Payment to LOCA/(LOCA Payment to CR)</v>
      </c>
      <c r="B276" s="202"/>
      <c r="C276" s="202"/>
      <c r="D276" s="202"/>
      <c r="E276" s="202"/>
      <c r="F276" s="212" t="e">
        <f>F268</f>
        <v>#DIV/0!</v>
      </c>
      <c r="G276" s="202"/>
      <c r="H276" s="202"/>
      <c r="I276" s="202"/>
      <c r="J276" s="202"/>
      <c r="K276" s="202"/>
      <c r="L276" s="202"/>
    </row>
    <row r="277" spans="1:12" x14ac:dyDescent="0.35">
      <c r="A277" s="32" t="str">
        <f>"                   (4) " &amp;year&amp; " Total Premium Income"</f>
        <v xml:space="preserve">                   (4) 2021 Total Premium Income</v>
      </c>
      <c r="B277" s="202"/>
      <c r="C277" s="202"/>
      <c r="D277" s="202"/>
      <c r="E277" s="202"/>
      <c r="F277" s="212">
        <f>F45</f>
        <v>0</v>
      </c>
      <c r="G277" s="202"/>
      <c r="H277" s="202"/>
      <c r="I277" s="202"/>
      <c r="J277" s="202"/>
      <c r="K277" s="202"/>
      <c r="L277" s="202"/>
    </row>
    <row r="278" spans="1:12" x14ac:dyDescent="0.35">
      <c r="A278" s="32" t="str">
        <f>"                   (5) " &amp;year&amp; " Estimated Paid Claims"</f>
        <v xml:space="preserve">                   (5) 2021 Estimated Paid Claims</v>
      </c>
      <c r="B278" s="202"/>
      <c r="C278" s="202"/>
      <c r="D278" s="202"/>
      <c r="E278" s="202"/>
      <c r="F278" s="212" t="e">
        <f>(G80*G158)+((1-G80)*G157)</f>
        <v>#DIV/0!</v>
      </c>
      <c r="G278" s="202"/>
      <c r="H278" s="202"/>
      <c r="I278" s="202"/>
      <c r="J278" s="202"/>
      <c r="K278" s="202"/>
      <c r="L278" s="202"/>
    </row>
    <row r="279" spans="1:12" x14ac:dyDescent="0.35">
      <c r="A279" s="32" t="str">
        <f>"                   (6) " &amp;year&amp; " Paid Expenses"</f>
        <v xml:space="preserve">                   (6) 2021 Paid Expenses</v>
      </c>
      <c r="B279" s="202"/>
      <c r="C279" s="202"/>
      <c r="D279" s="202"/>
      <c r="E279" s="202"/>
      <c r="F279" s="212">
        <f>C180+E180</f>
        <v>0</v>
      </c>
      <c r="G279" s="202"/>
      <c r="H279" s="202"/>
      <c r="I279" s="202"/>
      <c r="J279" s="202"/>
      <c r="K279" s="202"/>
      <c r="L279" s="202"/>
    </row>
    <row r="280" spans="1:12" x14ac:dyDescent="0.35">
      <c r="A280" s="207" t="str">
        <f>"                   (7) " &amp;year&amp; " Average Investment Balance"</f>
        <v xml:space="preserve">                   (7) 2021 Average Investment Balance</v>
      </c>
      <c r="B280" s="202"/>
      <c r="C280" s="202"/>
      <c r="D280" s="202"/>
      <c r="E280" s="202"/>
      <c r="F280" s="212" t="e">
        <f>IF(ThreeNoSpecialPayment2,F274-F275+0.25*F276+0.5*(F277-F278-F279),F274-F275+0.5*(F277-F278-F279)+(((12.5-T4)/12)*E210+((12.5-T5)/12)*E212+((12.5-T6)/12)*E214))</f>
        <v>#DIV/0!</v>
      </c>
      <c r="G280" s="202"/>
      <c r="H280" s="202"/>
      <c r="I280" s="202"/>
      <c r="J280" s="202"/>
      <c r="K280" s="202"/>
      <c r="L280" s="202"/>
    </row>
    <row r="281" spans="1:12" x14ac:dyDescent="0.35">
      <c r="A281" s="32" t="str">
        <f>"                   (8) " &amp;year&amp; " Estimated Interest Plus Investment Income"</f>
        <v xml:space="preserve">                   (8) 2021 Estimated Interest Plus Investment Income</v>
      </c>
      <c r="B281" s="202"/>
      <c r="C281" s="202"/>
      <c r="D281" s="202"/>
      <c r="E281" s="202"/>
      <c r="F281" s="218" t="e">
        <f>Yr2LOC*F280</f>
        <v>#DIV/0!</v>
      </c>
      <c r="G281" s="202"/>
      <c r="H281" s="202"/>
      <c r="I281" s="202"/>
      <c r="J281" s="202"/>
      <c r="K281" s="202"/>
      <c r="L281" s="202"/>
    </row>
    <row r="282" spans="1:12" x14ac:dyDescent="0.35">
      <c r="A282" s="202"/>
      <c r="B282" s="202"/>
      <c r="C282" s="202"/>
      <c r="D282" s="202"/>
      <c r="E282" s="202"/>
      <c r="F282" s="202"/>
      <c r="G282" s="202"/>
      <c r="H282" s="202"/>
      <c r="I282" s="202"/>
      <c r="J282" s="202"/>
      <c r="K282" s="202"/>
      <c r="L282" s="202"/>
    </row>
    <row r="290" spans="1:12" s="202" customFormat="1" x14ac:dyDescent="0.35">
      <c r="A290" s="54"/>
      <c r="B290" s="54"/>
      <c r="C290" s="54"/>
      <c r="D290" s="54"/>
      <c r="E290" s="54"/>
      <c r="F290" s="54"/>
      <c r="G290" s="54"/>
      <c r="H290" s="54"/>
      <c r="I290" s="54"/>
      <c r="J290" s="54"/>
      <c r="K290" s="54"/>
      <c r="L290" s="54"/>
    </row>
    <row r="291" spans="1:12" s="202" customFormat="1" x14ac:dyDescent="0.35">
      <c r="A291" s="54"/>
      <c r="B291" s="54"/>
      <c r="C291" s="54"/>
      <c r="D291" s="54"/>
      <c r="E291" s="54"/>
      <c r="F291" s="54"/>
      <c r="G291" s="54"/>
      <c r="H291" s="54"/>
      <c r="I291" s="54"/>
      <c r="J291" s="54"/>
      <c r="K291" s="54"/>
      <c r="L291" s="54"/>
    </row>
    <row r="292" spans="1:12" s="202" customFormat="1" x14ac:dyDescent="0.35">
      <c r="A292" s="54"/>
      <c r="B292" s="54"/>
      <c r="C292" s="54"/>
      <c r="D292" s="54"/>
      <c r="E292" s="54"/>
      <c r="F292" s="54"/>
      <c r="G292" s="54"/>
      <c r="H292" s="54"/>
      <c r="I292" s="54"/>
      <c r="J292" s="54"/>
      <c r="K292" s="54"/>
      <c r="L292" s="54"/>
    </row>
    <row r="293" spans="1:12" s="202" customFormat="1" x14ac:dyDescent="0.35">
      <c r="A293" s="54"/>
      <c r="B293" s="54"/>
      <c r="C293" s="54"/>
      <c r="D293" s="54"/>
      <c r="E293" s="54"/>
      <c r="F293" s="54"/>
      <c r="G293" s="54"/>
      <c r="H293" s="54"/>
      <c r="I293" s="54"/>
      <c r="J293" s="54"/>
      <c r="K293" s="54"/>
      <c r="L293" s="54"/>
    </row>
    <row r="294" spans="1:12" s="202" customFormat="1" x14ac:dyDescent="0.35">
      <c r="A294" s="54"/>
      <c r="B294" s="54"/>
      <c r="C294" s="54"/>
      <c r="D294" s="54"/>
      <c r="E294" s="54"/>
      <c r="F294" s="54"/>
      <c r="G294" s="54"/>
      <c r="H294" s="54"/>
      <c r="I294" s="54"/>
      <c r="J294" s="54"/>
      <c r="K294" s="54"/>
      <c r="L294" s="54"/>
    </row>
    <row r="295" spans="1:12" s="202" customFormat="1" x14ac:dyDescent="0.35">
      <c r="A295" s="54"/>
      <c r="B295" s="54"/>
      <c r="C295" s="54"/>
      <c r="D295" s="54"/>
      <c r="E295" s="54"/>
      <c r="F295" s="54"/>
      <c r="G295" s="54"/>
      <c r="H295" s="54"/>
      <c r="I295" s="54"/>
      <c r="J295" s="54"/>
      <c r="K295" s="54"/>
      <c r="L295" s="54"/>
    </row>
    <row r="296" spans="1:12" s="202" customFormat="1" x14ac:dyDescent="0.35">
      <c r="A296" s="54"/>
      <c r="B296" s="54"/>
      <c r="C296" s="54"/>
      <c r="D296" s="54"/>
      <c r="E296" s="54"/>
      <c r="F296" s="54"/>
      <c r="G296" s="54"/>
      <c r="H296" s="54"/>
      <c r="I296" s="54"/>
      <c r="J296" s="54"/>
      <c r="K296" s="54"/>
      <c r="L296" s="54"/>
    </row>
    <row r="297" spans="1:12" s="202" customFormat="1" x14ac:dyDescent="0.35">
      <c r="A297" s="54"/>
      <c r="B297" s="54"/>
      <c r="C297" s="54"/>
      <c r="D297" s="54"/>
      <c r="E297" s="54"/>
      <c r="F297" s="54"/>
      <c r="G297" s="54"/>
      <c r="H297" s="54"/>
      <c r="I297" s="54"/>
      <c r="J297" s="54"/>
      <c r="K297" s="54"/>
      <c r="L297" s="54"/>
    </row>
    <row r="298" spans="1:12" s="202" customFormat="1" x14ac:dyDescent="0.35">
      <c r="A298" s="54"/>
      <c r="B298" s="54"/>
      <c r="C298" s="54"/>
      <c r="D298" s="54"/>
      <c r="E298" s="54"/>
      <c r="F298" s="54"/>
      <c r="G298" s="54"/>
      <c r="H298" s="54"/>
      <c r="I298" s="54"/>
      <c r="J298" s="54"/>
      <c r="K298" s="54"/>
      <c r="L298" s="54"/>
    </row>
    <row r="299" spans="1:12" s="202" customFormat="1" x14ac:dyDescent="0.35">
      <c r="A299" s="54"/>
      <c r="B299" s="54"/>
      <c r="C299" s="54"/>
      <c r="D299" s="54"/>
      <c r="E299" s="54"/>
      <c r="F299" s="54"/>
      <c r="G299" s="54"/>
      <c r="H299" s="54"/>
      <c r="I299" s="54"/>
      <c r="J299" s="54"/>
      <c r="K299" s="54"/>
      <c r="L299" s="54"/>
    </row>
    <row r="300" spans="1:12" s="202" customFormat="1" x14ac:dyDescent="0.35">
      <c r="A300" s="54"/>
      <c r="B300" s="54"/>
      <c r="C300" s="54"/>
      <c r="D300" s="54"/>
      <c r="E300" s="54"/>
      <c r="F300" s="54"/>
      <c r="G300" s="54"/>
      <c r="H300" s="54"/>
      <c r="I300" s="54"/>
      <c r="J300" s="54"/>
      <c r="K300" s="54"/>
      <c r="L300" s="54"/>
    </row>
    <row r="301" spans="1:12" s="202" customFormat="1" x14ac:dyDescent="0.35">
      <c r="A301" s="54"/>
      <c r="B301" s="54"/>
      <c r="C301" s="54"/>
      <c r="D301" s="54"/>
      <c r="E301" s="54"/>
      <c r="F301" s="54"/>
      <c r="G301" s="54"/>
      <c r="H301" s="54"/>
      <c r="I301" s="54"/>
      <c r="J301" s="54"/>
      <c r="K301" s="54"/>
      <c r="L301" s="54"/>
    </row>
    <row r="302" spans="1:12" s="202" customFormat="1" x14ac:dyDescent="0.35">
      <c r="A302" s="54"/>
      <c r="B302" s="54"/>
      <c r="C302" s="54"/>
      <c r="D302" s="54"/>
      <c r="E302" s="54"/>
      <c r="F302" s="54"/>
      <c r="G302" s="54"/>
      <c r="H302" s="54"/>
      <c r="I302" s="54"/>
      <c r="J302" s="54"/>
      <c r="K302" s="54"/>
      <c r="L302" s="54"/>
    </row>
    <row r="303" spans="1:12" s="202" customFormat="1" x14ac:dyDescent="0.35">
      <c r="A303" s="54"/>
      <c r="B303" s="54"/>
      <c r="C303" s="54"/>
      <c r="D303" s="54"/>
      <c r="E303" s="54"/>
      <c r="F303" s="54"/>
      <c r="G303" s="54"/>
      <c r="H303" s="54"/>
      <c r="I303" s="54"/>
      <c r="J303" s="54"/>
      <c r="K303" s="54"/>
      <c r="L303" s="54"/>
    </row>
  </sheetData>
  <sheetProtection algorithmName="SHA-512" hashValue="l12n/5sB6JrfagOv57METo1Qch7ld9W8xLO6iK8fXK6S8r5lfKE+HEne6ruJu0KGWcaJgF8Hv8C6NXyk7xk90A==" saltValue="yEGkMupt4OpYwTjU+dx+tQ==" spinCount="100000" sheet="1" objects="1" scenarios="1"/>
  <mergeCells count="40">
    <mergeCell ref="I54:J60"/>
    <mergeCell ref="A1:K1"/>
    <mergeCell ref="A2:K2"/>
    <mergeCell ref="D5:F5"/>
    <mergeCell ref="H5:J5"/>
    <mergeCell ref="F24:G24"/>
    <mergeCell ref="A54:A55"/>
    <mergeCell ref="B54:B55"/>
    <mergeCell ref="C54:C55"/>
    <mergeCell ref="B59:G61"/>
    <mergeCell ref="A106:I106"/>
    <mergeCell ref="B114:D114"/>
    <mergeCell ref="E114:I114"/>
    <mergeCell ref="A107:I107"/>
    <mergeCell ref="A86:I86"/>
    <mergeCell ref="A87:I87"/>
    <mergeCell ref="A88:I88"/>
    <mergeCell ref="F97:G97"/>
    <mergeCell ref="A89:I89"/>
    <mergeCell ref="B128:C128"/>
    <mergeCell ref="B127:C127"/>
    <mergeCell ref="A110:I110"/>
    <mergeCell ref="A109:I109"/>
    <mergeCell ref="A108:I108"/>
    <mergeCell ref="A131:I131"/>
    <mergeCell ref="A132:I133"/>
    <mergeCell ref="B153:F153"/>
    <mergeCell ref="D54:D55"/>
    <mergeCell ref="E54:E55"/>
    <mergeCell ref="F54:F55"/>
    <mergeCell ref="G54:G55"/>
    <mergeCell ref="B146:C146"/>
    <mergeCell ref="B147:C147"/>
    <mergeCell ref="B148:C148"/>
    <mergeCell ref="B138:C138"/>
    <mergeCell ref="B139:C139"/>
    <mergeCell ref="B140:C140"/>
    <mergeCell ref="E125:E126"/>
    <mergeCell ref="G125:G126"/>
    <mergeCell ref="B129:C129"/>
  </mergeCells>
  <phoneticPr fontId="3" type="noConversion"/>
  <dataValidations count="3">
    <dataValidation type="list" allowBlank="1" showInputMessage="1" showErrorMessage="1" sqref="E205 E207 E209 E211 E213 E215" xr:uid="{00000000-0002-0000-0800-000000000000}">
      <formula1>$S$1:$S$13</formula1>
    </dataValidation>
    <dataValidation type="custom" allowBlank="1" showInputMessage="1" showErrorMessage="1" error="Accrued Income of Previous Year must be a positive value." sqref="I11:I12" xr:uid="{00000000-0002-0000-0800-000001000000}">
      <formula1>I11&gt;=0</formula1>
    </dataValidation>
    <dataValidation type="custom" allowBlank="1" showInputMessage="1" showErrorMessage="1" error="Return of Excess Reserves must be a positive value." sqref="I20" xr:uid="{00000000-0002-0000-0800-000002000000}">
      <formula1>I20&gt;=0</formula1>
    </dataValidation>
  </dataValidations>
  <pageMargins left="0.75" right="0.75" top="1" bottom="1" header="0.5" footer="0.5"/>
  <pageSetup scale="52" fitToHeight="11" orientation="portrait" r:id="rId1"/>
  <headerFooter alignWithMargins="0">
    <oddFooter>&amp;C&amp;P</oddFooter>
  </headerFooter>
  <rowBreaks count="3" manualBreakCount="3">
    <brk id="85" max="10" man="1"/>
    <brk id="149" max="10" man="1"/>
    <brk id="218"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3000000}">
          <x14:formula1>
            <xm:f>'Proposal Questions'!$S$1:$S$2</xm:f>
          </x14:formula1>
          <xm:sqref>E48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57</vt:i4>
      </vt:variant>
    </vt:vector>
  </HeadingPairs>
  <TitlesOfParts>
    <vt:vector size="76" baseType="lpstr">
      <vt:lpstr>Instructions</vt:lpstr>
      <vt:lpstr>Proposal Questions</vt:lpstr>
      <vt:lpstr>Rate Proposal - 5 year</vt:lpstr>
      <vt:lpstr>Table1 - 5 year</vt:lpstr>
      <vt:lpstr>Table2 - 5 year</vt:lpstr>
      <vt:lpstr>Rate Proposal - 4 year</vt:lpstr>
      <vt:lpstr>Table1 - 4 year</vt:lpstr>
      <vt:lpstr>Table2 - 4 year</vt:lpstr>
      <vt:lpstr>Rate Proposal - 3 year</vt:lpstr>
      <vt:lpstr>Table1 - 3 year</vt:lpstr>
      <vt:lpstr>Table2 - 3 year</vt:lpstr>
      <vt:lpstr>Rate Proposal - 2 year</vt:lpstr>
      <vt:lpstr>Table2 - 2 year</vt:lpstr>
      <vt:lpstr>Rate Proposal - 1 year</vt:lpstr>
      <vt:lpstr>Table 3</vt:lpstr>
      <vt:lpstr>Help</vt:lpstr>
      <vt:lpstr>Rate Proposal - Example</vt:lpstr>
      <vt:lpstr>Table1 - Example</vt:lpstr>
      <vt:lpstr>Table2 - Example</vt:lpstr>
      <vt:lpstr>Code</vt:lpstr>
      <vt:lpstr>FiveNoSpecialPayment1</vt:lpstr>
      <vt:lpstr>FiveNoSpecialPayment2</vt:lpstr>
      <vt:lpstr>FiveSpecialPayment1</vt:lpstr>
      <vt:lpstr>FiveYrNoSpecialPayment1</vt:lpstr>
      <vt:lpstr>FourNoSpecialPayment1</vt:lpstr>
      <vt:lpstr>FourNoSpecialPayment2</vt:lpstr>
      <vt:lpstr>FYear</vt:lpstr>
      <vt:lpstr>FYear1</vt:lpstr>
      <vt:lpstr>FYear2</vt:lpstr>
      <vt:lpstr>FYear3</vt:lpstr>
      <vt:lpstr>FYear4</vt:lpstr>
      <vt:lpstr>FYear5</vt:lpstr>
      <vt:lpstr>GovtMaxF</vt:lpstr>
      <vt:lpstr>GovtMaxP</vt:lpstr>
      <vt:lpstr>GovtMaxS</vt:lpstr>
      <vt:lpstr>NoSpecialPayment1</vt:lpstr>
      <vt:lpstr>NoSpecialPayment2</vt:lpstr>
      <vt:lpstr>OPMadmin</vt:lpstr>
      <vt:lpstr>Option</vt:lpstr>
      <vt:lpstr>Plan</vt:lpstr>
      <vt:lpstr>PlanType</vt:lpstr>
      <vt:lpstr>Help!Print_Area</vt:lpstr>
      <vt:lpstr>Instructions!Print_Area</vt:lpstr>
      <vt:lpstr>'Proposal Questions'!Print_Area</vt:lpstr>
      <vt:lpstr>'Rate Proposal - 1 year'!Print_Area</vt:lpstr>
      <vt:lpstr>'Rate Proposal - 2 year'!Print_Area</vt:lpstr>
      <vt:lpstr>'Rate Proposal - 3 year'!Print_Area</vt:lpstr>
      <vt:lpstr>'Rate Proposal - 4 year'!Print_Area</vt:lpstr>
      <vt:lpstr>'Rate Proposal - 5 year'!Print_Area</vt:lpstr>
      <vt:lpstr>'Rate Proposal - Example'!Print_Area</vt:lpstr>
      <vt:lpstr>'Table 3'!Print_Area</vt:lpstr>
      <vt:lpstr>'Table1 - 3 year'!Print_Area</vt:lpstr>
      <vt:lpstr>'Table1 - 4 year'!Print_Area</vt:lpstr>
      <vt:lpstr>'Table1 - 5 year'!Print_Area</vt:lpstr>
      <vt:lpstr>'Table1 - Example'!Print_Area</vt:lpstr>
      <vt:lpstr>'Table2 - 2 year'!Print_Area</vt:lpstr>
      <vt:lpstr>'Table2 - 3 year'!Print_Area</vt:lpstr>
      <vt:lpstr>'Table2 - 4 year'!Print_Area</vt:lpstr>
      <vt:lpstr>'Table2 - 5 year'!Print_Area</vt:lpstr>
      <vt:lpstr>'Table2 - Example'!Print_Area</vt:lpstr>
      <vt:lpstr>Help!Print_Titles</vt:lpstr>
      <vt:lpstr>'Proposal Questions'!Print_Titles</vt:lpstr>
      <vt:lpstr>'Rate Proposal - 2 year'!Print_Titles</vt:lpstr>
      <vt:lpstr>'Rate Proposal - 3 year'!Print_Titles</vt:lpstr>
      <vt:lpstr>'Rate Proposal - 4 year'!Print_Titles</vt:lpstr>
      <vt:lpstr>'Rate Proposal - 5 year'!Print_Titles</vt:lpstr>
      <vt:lpstr>'Rate Proposal - Example'!Print_Titles</vt:lpstr>
      <vt:lpstr>QNoSpecialPayment1</vt:lpstr>
      <vt:lpstr>SpecialPayment1</vt:lpstr>
      <vt:lpstr>ThreeNoSpecialPayment1</vt:lpstr>
      <vt:lpstr>ThreeNoSpecialPayment2</vt:lpstr>
      <vt:lpstr>year</vt:lpstr>
      <vt:lpstr>Yr1CR</vt:lpstr>
      <vt:lpstr>Yr1LOC</vt:lpstr>
      <vt:lpstr>Yr2CR</vt:lpstr>
      <vt:lpstr>Yr2LOC</vt:lpstr>
    </vt:vector>
  </TitlesOfParts>
  <Company>Office of Personnel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OPM</dc:creator>
  <cp:lastModifiedBy>Frye, Lynelle</cp:lastModifiedBy>
  <cp:lastPrinted>2017-04-18T21:28:12Z</cp:lastPrinted>
  <dcterms:created xsi:type="dcterms:W3CDTF">2006-01-18T12:58:16Z</dcterms:created>
  <dcterms:modified xsi:type="dcterms:W3CDTF">2020-04-14T12:30:41Z</dcterms:modified>
</cp:coreProperties>
</file>