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0730" windowHeight="11160" tabRatio="909" activeTab="0"/>
  </bookViews>
  <sheets>
    <sheet name="Attachment I (Small Carrier)" sheetId="1" r:id="rId1"/>
    <sheet name="Attachment II" sheetId="2" r:id="rId2"/>
    <sheet name="Net-to-Carrier Rates" sheetId="9" r:id="rId3"/>
    <sheet name="Backup Line 1 - TCR &amp; CRC" sheetId="4" r:id="rId4"/>
    <sheet name="Backup Line 1 - ACR" sheetId="5" r:id="rId5"/>
    <sheet name="Special Benefits Form" sheetId="6" r:id="rId6"/>
    <sheet name="Medicare Loading Form" sheetId="7" r:id="rId7"/>
    <sheet name="Potential SSSGs Form" sheetId="8" r:id="rId8"/>
  </sheets>
  <externalReferences>
    <externalReference r:id="rId11"/>
  </externalReferences>
  <definedNames>
    <definedName name="Data">'[1]data'!$A$3:$PW$3</definedName>
    <definedName name="ID">'[1]Controls'!$B$1</definedName>
    <definedName name="_xlnm.Print_Area" localSheetId="0">'Attachment I (Small Carrier)'!$A$1:$K$33</definedName>
    <definedName name="_xlnm.Print_Area" localSheetId="1">'Attachment II'!$A$1:$J$22</definedName>
    <definedName name="year">'Attachment II'!$B$5</definedName>
    <definedName name="year1">'Attachment I (Small Carrier)'!$B$5</definedName>
  </definedNames>
  <calcPr calcId="191029"/>
  <extLst/>
</workbook>
</file>

<file path=xl/sharedStrings.xml><?xml version="1.0" encoding="utf-8"?>
<sst xmlns="http://schemas.openxmlformats.org/spreadsheetml/2006/main" count="175" uniqueCount="136">
  <si>
    <t>(Use BIWEEKLY Net-To-Carrier Rates)</t>
  </si>
  <si>
    <t>CARRIER NAME</t>
  </si>
  <si>
    <t>STATE</t>
  </si>
  <si>
    <t>CODE</t>
  </si>
  <si>
    <t>TCR (Traditional Community Rating)</t>
  </si>
  <si>
    <t>CRC (Community Rating By Class)</t>
  </si>
  <si>
    <t>ACR (Adjusted Community Rating)</t>
  </si>
  <si>
    <t>SELF</t>
  </si>
  <si>
    <t>FAMILY</t>
  </si>
  <si>
    <t>Line A:</t>
  </si>
  <si>
    <t>Line B:</t>
  </si>
  <si>
    <t>Line C:</t>
  </si>
  <si>
    <t>Rate reduction necessary to generate a contingency reserve payment approximately equal to the excess.</t>
  </si>
  <si>
    <t>Line D:</t>
  </si>
  <si>
    <t>Line E:</t>
  </si>
  <si>
    <t>2. Special Benefit Loadings</t>
  </si>
  <si>
    <t>(a)</t>
  </si>
  <si>
    <t>(b)</t>
  </si>
  <si>
    <t>3. FEHB Rates Plus Special Benefit Loadings</t>
  </si>
  <si>
    <t>4. Standard Loadings</t>
  </si>
  <si>
    <t>(a) Extension of Coverage Loading [.004 x (3)]</t>
  </si>
  <si>
    <t>(b) Medicare Loading</t>
  </si>
  <si>
    <t>4c. Subtotal [(3) + (4a) + (4b)]</t>
  </si>
  <si>
    <t>4d. Estimated Premium Underpayment Percentage</t>
  </si>
  <si>
    <t>4e. Premium Underpayment Loading [(4c) x (4d)]</t>
  </si>
  <si>
    <t>5b. Discount</t>
  </si>
  <si>
    <t>(i) SSSG Discount (for TCR plans only)</t>
  </si>
  <si>
    <t>(ii) Other Discount</t>
  </si>
  <si>
    <t>Beginning Capitation Rates</t>
  </si>
  <si>
    <t>Age/Sex Factor</t>
  </si>
  <si>
    <t>Percentage of Self Contracts</t>
  </si>
  <si>
    <t>Percentage of Self + 1 Contracts</t>
  </si>
  <si>
    <t>Percentage of Family Contracts</t>
  </si>
  <si>
    <t>Average Family Size</t>
  </si>
  <si>
    <t>1st Level Step-Up Factor (Self/Capitation)</t>
  </si>
  <si>
    <t>Self+1/Self Ratio</t>
  </si>
  <si>
    <t>Family/Self Ratio</t>
  </si>
  <si>
    <t xml:space="preserve">Self Rates </t>
  </si>
  <si>
    <t>Self+1 Rates</t>
  </si>
  <si>
    <t>Family Rates</t>
  </si>
  <si>
    <t>Experience Period</t>
  </si>
  <si>
    <t>Total Paid Claims (before any COB)</t>
  </si>
  <si>
    <t>Total COB (including CMS)</t>
  </si>
  <si>
    <t>Annual Trend</t>
  </si>
  <si>
    <t>Total Trend from Experience Period</t>
  </si>
  <si>
    <t>Expected Claims</t>
  </si>
  <si>
    <t>Administration (&amp; Profit)</t>
  </si>
  <si>
    <t>Total Expected Claims + Admin + Profit</t>
  </si>
  <si>
    <t>Members</t>
  </si>
  <si>
    <t>Per Member Rates</t>
  </si>
  <si>
    <t>Benefit</t>
  </si>
  <si>
    <t>Cost/Member</t>
  </si>
  <si>
    <t>Self Rates</t>
  </si>
  <si>
    <t>Ex. $10/$20/$45 Rx Benefit</t>
  </si>
  <si>
    <t>$45.93 PMPM</t>
  </si>
  <si>
    <t>$48.34 (Rates are Self Rates times Family Ratio of 1.9)</t>
  </si>
  <si>
    <t>$58.51 (Rates are Self Rates times Family Ratio of 2.3)</t>
  </si>
  <si>
    <t>Ex. $20 Urgent Care</t>
  </si>
  <si>
    <t>$4.39 PMPM</t>
  </si>
  <si>
    <t>(c)</t>
  </si>
  <si>
    <t>(d)</t>
  </si>
  <si>
    <t>(e)</t>
  </si>
  <si>
    <t>(f)</t>
  </si>
  <si>
    <t>(g)</t>
  </si>
  <si>
    <t>(h)</t>
  </si>
  <si>
    <t xml:space="preserve">Medicare Coverage </t>
  </si>
  <si>
    <t xml:space="preserve">Part A Only </t>
  </si>
  <si>
    <t>Part B Only</t>
  </si>
  <si>
    <t>Parts A &amp; B</t>
  </si>
  <si>
    <t>No Coverage</t>
  </si>
  <si>
    <t xml:space="preserve">Total </t>
  </si>
  <si>
    <t>(E)</t>
  </si>
  <si>
    <t>Total FEHB Members (F)</t>
  </si>
  <si>
    <t>Cost Per Member (E / F)</t>
  </si>
  <si>
    <t>Self Loading</t>
  </si>
  <si>
    <t>Self+1 Loading</t>
  </si>
  <si>
    <t>Family Loading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</si>
  <si>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</si>
  <si>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</si>
  <si>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</si>
  <si>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</si>
  <si>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</si>
  <si>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</si>
  <si>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</si>
  <si>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</si>
  <si>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</si>
  <si>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</si>
  <si>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</si>
  <si>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ENROLLMENT</t>
  </si>
  <si>
    <r>
      <t>AS OF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(MM/DD/YYYY)</t>
    </r>
  </si>
  <si>
    <t>This page is for carriers that are state-mandated to TCR.</t>
  </si>
  <si>
    <t>Resulting Capitation Rate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</si>
  <si>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Include any necessary backup calculations here to support these loadings.</t>
    </r>
  </si>
  <si>
    <t>Enter any Medicare Loading (if appropriate) on line 4b of Attachment II.</t>
  </si>
  <si>
    <t>or:</t>
  </si>
  <si>
    <t>Alternative Backup Medicare Loading Form</t>
  </si>
  <si>
    <t>YEAR</t>
  </si>
  <si>
    <t>(Line A + Line B)</t>
  </si>
  <si>
    <t>SELF + 1</t>
  </si>
  <si>
    <r>
      <t xml:space="preserve">OPTION </t>
    </r>
    <r>
      <rPr>
        <b/>
        <sz val="9"/>
        <color theme="1"/>
        <rFont val="Calibri"/>
        <family val="2"/>
        <scheme val="minor"/>
      </rPr>
      <t>(High/Standard/HDHP/CDHP/Basic/Value)</t>
    </r>
  </si>
  <si>
    <t xml:space="preserve">Amount of excess contingency reserve:  </t>
  </si>
  <si>
    <t>Attachment IIA - Backup Line 1 Form - TCR &amp; CRC</t>
  </si>
  <si>
    <t>Attachment IIA - Backup Line 1 Form - ACR</t>
  </si>
  <si>
    <t>Attachment IIA - Special Benefits Loading Form</t>
  </si>
  <si>
    <t>Attachment IIA - Medicare Loading Form</t>
  </si>
  <si>
    <t>Attachment IIA - Potential SSSGs Form</t>
  </si>
  <si>
    <t>Self</t>
  </si>
  <si>
    <t>Self+1</t>
  </si>
  <si>
    <t>Family</t>
  </si>
  <si>
    <t>ESTIMATED</t>
  </si>
  <si>
    <t>% increase in Enrollee Contribution</t>
  </si>
  <si>
    <t>*OPM does not know what the government contribution will be until all rates are finalized.</t>
  </si>
  <si>
    <t>This chart shows the Government Contribution for non-postal employees and annuitants.</t>
  </si>
  <si>
    <t>If applicable, OPM will work with you to complete the section below to reduce the proposed rates in order to draw down the contingency reserve.</t>
  </si>
  <si>
    <t xml:space="preserve">(a)  </t>
  </si>
  <si>
    <t>enter the rates from Line 5c, Attachment II on this line.</t>
  </si>
  <si>
    <t xml:space="preserve">If applicable, OPM will work with you to complete the section below to reduce the proposed rates </t>
  </si>
  <si>
    <t>in order to draw down the contingency reserve.</t>
  </si>
  <si>
    <t xml:space="preserve">Rate reduction necessary to generate a contingency reserve payment </t>
  </si>
  <si>
    <t>approximately equal to the excess.</t>
  </si>
  <si>
    <t>Net-to-Carrier Rates</t>
  </si>
  <si>
    <t>This table is provided to give plans an ideas of what their enrollee contribution wil be under different assumptions of the government contribution.</t>
  </si>
  <si>
    <t>Contribution/Rates</t>
  </si>
  <si>
    <t xml:space="preserve">Enter the results on line 1 of Attachment III. </t>
  </si>
  <si>
    <t xml:space="preserve">If neither of these Forms is appropriate, create/modify a form and place it here. </t>
  </si>
  <si>
    <t>Enter the results on line 1 of Attachment III.</t>
  </si>
  <si>
    <t xml:space="preserve">Enter the Special Benefit Loadings (if appropriate) under Line 2 of Attachment II. </t>
  </si>
  <si>
    <t>If you are submitting an Excel file, please keep the formulas in the spreadsheet.</t>
  </si>
  <si>
    <t>(A)
Count</t>
  </si>
  <si>
    <t>(B)
Cost of 
Benefits</t>
  </si>
  <si>
    <t>(C)
FEHB Premiums</t>
  </si>
  <si>
    <t>(D)
Money from
CMS</t>
  </si>
  <si>
    <t>Plan Cost
A*(B-C-D)</t>
  </si>
  <si>
    <t xml:space="preserve">If you choose to submit potential SSSGs in the proposal, fill out the form below.  </t>
  </si>
  <si>
    <t>SSSGs will be chosen from the list on file in the event that the potential SSSGs listed below no longer qualify to be SSSGs at the time of reconciliation.</t>
  </si>
  <si>
    <t xml:space="preserve">You must also keep a list on file of all potential SSSGs ranked by the group’s most recent TCR enrollment (but no later than March 31 of the current year).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</si>
</sst>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0" fontId="0" fillId="0" borderId="0" xfId="0" applyFont="1"/>
    <xf numFmtId="49" fontId="0" fillId="0" borderId="0" xfId="0" applyNumberFormat="1" applyAlignment="1">
      <alignment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Protection="1">
      <protection locked="0"/>
    </xf>
    <xf numFmtId="1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164" fontId="11" fillId="0" borderId="3" xfId="0" applyNumberFormat="1" applyFont="1" applyBorder="1" applyAlignment="1" applyProtection="1">
      <alignment vertical="center"/>
      <protection/>
    </xf>
    <xf numFmtId="164" fontId="11" fillId="0" borderId="4" xfId="0" applyNumberFormat="1" applyFont="1" applyBorder="1" applyAlignment="1" applyProtection="1">
      <alignment vertical="center"/>
      <protection/>
    </xf>
    <xf numFmtId="164" fontId="11" fillId="0" borderId="5" xfId="0" applyNumberFormat="1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right" vertical="center"/>
      <protection/>
    </xf>
    <xf numFmtId="164" fontId="11" fillId="2" borderId="3" xfId="0" applyNumberFormat="1" applyFont="1" applyFill="1" applyBorder="1" applyAlignment="1" applyProtection="1">
      <alignment vertical="center"/>
      <protection/>
    </xf>
    <xf numFmtId="164" fontId="11" fillId="2" borderId="4" xfId="0" applyNumberFormat="1" applyFont="1" applyFill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right" vertical="center"/>
      <protection/>
    </xf>
    <xf numFmtId="164" fontId="11" fillId="0" borderId="8" xfId="0" applyNumberFormat="1" applyFont="1" applyBorder="1" applyAlignment="1" applyProtection="1">
      <alignment vertical="center"/>
      <protection/>
    </xf>
    <xf numFmtId="164" fontId="11" fillId="0" borderId="9" xfId="0" applyNumberFormat="1" applyFont="1" applyBorder="1" applyAlignment="1" applyProtection="1">
      <alignment vertical="center"/>
      <protection/>
    </xf>
    <xf numFmtId="164" fontId="11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" fontId="11" fillId="2" borderId="0" xfId="0" applyNumberFormat="1" applyFont="1" applyFill="1" applyAlignment="1" applyProtection="1">
      <alignment vertical="center"/>
      <protection/>
    </xf>
    <xf numFmtId="164" fontId="11" fillId="0" borderId="17" xfId="0" applyNumberFormat="1" applyFont="1" applyBorder="1" applyAlignment="1" applyProtection="1">
      <alignment vertical="center"/>
      <protection/>
    </xf>
    <xf numFmtId="164" fontId="11" fillId="0" borderId="18" xfId="0" applyNumberFormat="1" applyFont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0" fontId="11" fillId="3" borderId="17" xfId="15" applyNumberFormat="1" applyFont="1" applyFill="1" applyBorder="1" applyAlignment="1" applyProtection="1">
      <alignment vertical="center"/>
      <protection/>
    </xf>
    <xf numFmtId="10" fontId="11" fillId="3" borderId="18" xfId="15" applyNumberFormat="1" applyFont="1" applyFill="1" applyBorder="1" applyAlignment="1" applyProtection="1">
      <alignment vertical="center"/>
      <protection/>
    </xf>
    <xf numFmtId="10" fontId="11" fillId="3" borderId="5" xfId="15" applyNumberFormat="1" applyFont="1" applyFill="1" applyBorder="1" applyAlignment="1" applyProtection="1">
      <alignment vertical="center"/>
      <protection/>
    </xf>
    <xf numFmtId="10" fontId="11" fillId="3" borderId="3" xfId="15" applyNumberFormat="1" applyFont="1" applyFill="1" applyBorder="1" applyAlignment="1" applyProtection="1">
      <alignment vertical="center"/>
      <protection/>
    </xf>
    <xf numFmtId="10" fontId="11" fillId="3" borderId="4" xfId="15" applyNumberFormat="1" applyFont="1" applyFill="1" applyBorder="1" applyAlignment="1" applyProtection="1">
      <alignment vertical="center"/>
      <protection/>
    </xf>
    <xf numFmtId="10" fontId="11" fillId="3" borderId="8" xfId="15" applyNumberFormat="1" applyFont="1" applyFill="1" applyBorder="1" applyAlignment="1" applyProtection="1">
      <alignment vertical="center"/>
      <protection/>
    </xf>
    <xf numFmtId="10" fontId="11" fillId="3" borderId="9" xfId="15" applyNumberFormat="1" applyFont="1" applyFill="1" applyBorder="1" applyAlignment="1" applyProtection="1">
      <alignment vertical="center"/>
      <protection/>
    </xf>
    <xf numFmtId="10" fontId="11" fillId="3" borderId="10" xfId="15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right" vertical="center"/>
      <protection/>
    </xf>
    <xf numFmtId="164" fontId="11" fillId="0" borderId="20" xfId="0" applyNumberFormat="1" applyFont="1" applyBorder="1" applyAlignment="1" applyProtection="1">
      <alignment vertical="center"/>
      <protection/>
    </xf>
    <xf numFmtId="164" fontId="11" fillId="0" borderId="21" xfId="0" applyNumberFormat="1" applyFont="1" applyBorder="1" applyAlignment="1" applyProtection="1">
      <alignment vertical="center"/>
      <protection/>
    </xf>
    <xf numFmtId="164" fontId="11" fillId="4" borderId="3" xfId="0" applyNumberFormat="1" applyFont="1" applyFill="1" applyBorder="1" applyAlignment="1" applyProtection="1">
      <alignment vertical="center"/>
      <protection/>
    </xf>
    <xf numFmtId="164" fontId="11" fillId="4" borderId="4" xfId="0" applyNumberFormat="1" applyFont="1" applyFill="1" applyBorder="1" applyAlignment="1" applyProtection="1">
      <alignment vertical="center"/>
      <protection/>
    </xf>
    <xf numFmtId="164" fontId="11" fillId="4" borderId="5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>
      <alignment horizontal="right" vertical="center"/>
    </xf>
    <xf numFmtId="0" fontId="7" fillId="5" borderId="22" xfId="0" applyFont="1" applyFill="1" applyBorder="1" applyAlignment="1" applyProtection="1">
      <alignment vertical="center"/>
      <protection/>
    </xf>
    <xf numFmtId="0" fontId="7" fillId="5" borderId="23" xfId="0" applyFont="1" applyFill="1" applyBorder="1" applyAlignment="1" applyProtection="1">
      <alignment vertical="center"/>
      <protection/>
    </xf>
    <xf numFmtId="0" fontId="7" fillId="5" borderId="24" xfId="0" applyFont="1" applyFill="1" applyBorder="1" applyAlignment="1" applyProtection="1">
      <alignment vertical="center"/>
      <protection/>
    </xf>
    <xf numFmtId="0" fontId="2" fillId="5" borderId="25" xfId="0" applyFont="1" applyFill="1" applyBorder="1" applyAlignment="1" applyProtection="1">
      <alignment horizontal="right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22" xfId="0" applyFont="1" applyFill="1" applyBorder="1" applyAlignment="1" applyProtection="1">
      <alignment horizontal="right" vertical="center"/>
      <protection/>
    </xf>
    <xf numFmtId="0" fontId="2" fillId="5" borderId="27" xfId="0" applyFont="1" applyFill="1" applyBorder="1" applyAlignment="1" applyProtection="1">
      <alignment horizontal="right" vertical="center"/>
      <protection/>
    </xf>
    <xf numFmtId="0" fontId="2" fillId="5" borderId="27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8" fontId="5" fillId="0" borderId="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0" fontId="0" fillId="5" borderId="30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0" fontId="11" fillId="0" borderId="0" xfId="15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8" fillId="5" borderId="31" xfId="0" applyFont="1" applyFill="1" applyBorder="1" applyAlignment="1" applyProtection="1">
      <alignment vertical="center"/>
      <protection/>
    </xf>
    <xf numFmtId="0" fontId="8" fillId="5" borderId="25" xfId="0" applyFont="1" applyFill="1" applyBorder="1" applyAlignment="1" applyProtection="1">
      <alignment vertical="center"/>
      <protection/>
    </xf>
    <xf numFmtId="0" fontId="8" fillId="5" borderId="28" xfId="0" applyFont="1" applyFill="1" applyBorder="1" applyAlignment="1" applyProtection="1">
      <alignment vertical="center"/>
      <protection/>
    </xf>
    <xf numFmtId="0" fontId="2" fillId="5" borderId="26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0" fillId="4" borderId="32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0" fillId="4" borderId="33" xfId="0" applyFont="1" applyFill="1" applyBorder="1" applyAlignment="1" applyProtection="1">
      <alignment vertical="center" wrapText="1"/>
      <protection locked="0"/>
    </xf>
    <xf numFmtId="49" fontId="2" fillId="5" borderId="22" xfId="0" applyNumberFormat="1" applyFont="1" applyFill="1" applyBorder="1" applyAlignment="1" applyProtection="1">
      <alignment vertical="center"/>
      <protection/>
    </xf>
    <xf numFmtId="49" fontId="2" fillId="5" borderId="23" xfId="0" applyNumberFormat="1" applyFont="1" applyFill="1" applyBorder="1" applyAlignment="1" applyProtection="1">
      <alignment vertical="center"/>
      <protection/>
    </xf>
    <xf numFmtId="49" fontId="2" fillId="5" borderId="24" xfId="0" applyNumberFormat="1" applyFont="1" applyFill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2" fillId="5" borderId="27" xfId="0" applyNumberFormat="1" applyFont="1" applyFill="1" applyBorder="1" applyAlignment="1" applyProtection="1">
      <alignment vertical="center"/>
      <protection/>
    </xf>
    <xf numFmtId="49" fontId="0" fillId="0" borderId="27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34" xfId="0" applyFont="1" applyFill="1" applyBorder="1" applyAlignment="1" applyProtection="1">
      <alignment vertical="center"/>
      <protection/>
    </xf>
    <xf numFmtId="0" fontId="2" fillId="5" borderId="22" xfId="0" applyFont="1" applyFill="1" applyBorder="1" applyAlignment="1" applyProtection="1">
      <alignment vertical="center"/>
      <protection/>
    </xf>
    <xf numFmtId="0" fontId="2" fillId="5" borderId="23" xfId="0" applyFont="1" applyFill="1" applyBorder="1" applyAlignment="1" applyProtection="1">
      <alignment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0" fontId="0" fillId="5" borderId="34" xfId="0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vertical="center"/>
      <protection/>
    </xf>
    <xf numFmtId="0" fontId="2" fillId="5" borderId="25" xfId="0" applyFont="1" applyFill="1" applyBorder="1" applyAlignment="1" applyProtection="1">
      <alignment vertical="center"/>
      <protection/>
    </xf>
    <xf numFmtId="0" fontId="2" fillId="5" borderId="28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23" xfId="0" applyNumberFormat="1" applyBorder="1" applyAlignment="1" applyProtection="1">
      <alignment vertical="center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32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top" wrapText="1"/>
      <protection/>
    </xf>
    <xf numFmtId="0" fontId="2" fillId="5" borderId="32" xfId="0" applyFont="1" applyFill="1" applyBorder="1" applyAlignment="1" applyProtection="1">
      <alignment vertical="top"/>
      <protection/>
    </xf>
    <xf numFmtId="0" fontId="3" fillId="5" borderId="32" xfId="0" applyFon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vertical="top"/>
      <protection/>
    </xf>
    <xf numFmtId="164" fontId="0" fillId="0" borderId="26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30" xfId="0" applyNumberFormat="1" applyBorder="1" applyAlignment="1" applyProtection="1">
      <alignment vertical="center"/>
      <protection locked="0"/>
    </xf>
    <xf numFmtId="0" fontId="2" fillId="5" borderId="22" xfId="0" applyFont="1" applyFill="1" applyBorder="1" applyAlignment="1" applyProtection="1">
      <alignment vertical="top"/>
      <protection/>
    </xf>
    <xf numFmtId="0" fontId="2" fillId="5" borderId="23" xfId="0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right" vertical="center"/>
      <protection/>
    </xf>
    <xf numFmtId="0" fontId="2" fillId="5" borderId="0" xfId="0" applyFont="1" applyFill="1" applyBorder="1" applyAlignment="1" applyProtection="1">
      <alignment horizontal="right" vertical="center" wrapText="1"/>
      <protection/>
    </xf>
    <xf numFmtId="164" fontId="0" fillId="0" borderId="28" xfId="0" applyNumberForma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32" xfId="0" applyNumberFormat="1" applyBorder="1" applyAlignment="1" applyProtection="1">
      <alignment vertical="center"/>
      <protection/>
    </xf>
    <xf numFmtId="164" fontId="0" fillId="0" borderId="33" xfId="0" applyNumberFormat="1" applyBorder="1" applyAlignment="1" applyProtection="1">
      <alignment vertical="center"/>
      <protection/>
    </xf>
    <xf numFmtId="164" fontId="0" fillId="0" borderId="31" xfId="0" applyNumberFormat="1" applyBorder="1" applyAlignment="1" applyProtection="1">
      <alignment vertical="center"/>
      <protection/>
    </xf>
    <xf numFmtId="164" fontId="0" fillId="0" borderId="25" xfId="0" applyNumberFormat="1" applyBorder="1" applyAlignment="1" applyProtection="1">
      <alignment vertical="center"/>
      <protection/>
    </xf>
    <xf numFmtId="0" fontId="0" fillId="0" borderId="0" xfId="0" applyFill="1" applyProtection="1">
      <protection locked="0"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164" fontId="0" fillId="0" borderId="32" xfId="0" applyNumberFormat="1" applyFill="1" applyBorder="1" applyAlignment="1" applyProtection="1">
      <alignment vertical="center"/>
      <protection/>
    </xf>
    <xf numFmtId="164" fontId="0" fillId="0" borderId="33" xfId="0" applyNumberFormat="1" applyFill="1" applyBorder="1" applyAlignment="1" applyProtection="1">
      <alignment vertical="center"/>
      <protection/>
    </xf>
    <xf numFmtId="0" fontId="2" fillId="5" borderId="29" xfId="0" applyFont="1" applyFill="1" applyBorder="1" applyAlignment="1" applyProtection="1">
      <alignment vertical="center"/>
      <protection/>
    </xf>
    <xf numFmtId="0" fontId="2" fillId="5" borderId="30" xfId="0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 applyProtection="1">
      <alignment vertical="center" wrapText="1"/>
      <protection/>
    </xf>
    <xf numFmtId="165" fontId="0" fillId="0" borderId="32" xfId="0" applyNumberFormat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33" xfId="0" applyNumberFormat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 indent="25"/>
      <protection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164" fontId="11" fillId="2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4" borderId="32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33" xfId="0" applyFont="1" applyFill="1" applyBorder="1" applyAlignment="1" applyProtection="1">
      <alignment vertical="center"/>
      <protection locked="0"/>
    </xf>
    <xf numFmtId="49" fontId="2" fillId="5" borderId="34" xfId="0" applyNumberFormat="1" applyFont="1" applyFill="1" applyBorder="1" applyAlignment="1" applyProtection="1">
      <alignment vertical="center"/>
      <protection/>
    </xf>
    <xf numFmtId="49" fontId="2" fillId="5" borderId="30" xfId="0" applyNumberFormat="1" applyFon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0" fontId="0" fillId="5" borderId="29" xfId="0" applyFill="1" applyBorder="1" applyAlignment="1" applyProtection="1">
      <alignment vertical="center"/>
      <protection/>
    </xf>
    <xf numFmtId="0" fontId="0" fillId="5" borderId="34" xfId="0" applyFill="1" applyBorder="1" applyAlignment="1" applyProtection="1">
      <alignment vertical="center"/>
      <protection/>
    </xf>
    <xf numFmtId="0" fontId="0" fillId="5" borderId="30" xfId="0" applyFill="1" applyBorder="1" applyAlignment="1" applyProtection="1">
      <alignment vertical="center"/>
      <protection/>
    </xf>
    <xf numFmtId="164" fontId="0" fillId="0" borderId="27" xfId="0" applyNumberFormat="1" applyBorder="1" applyAlignment="1" applyProtection="1">
      <alignment vertical="center"/>
      <protection locked="0"/>
    </xf>
    <xf numFmtId="0" fontId="0" fillId="4" borderId="29" xfId="0" applyFont="1" applyFill="1" applyBorder="1" applyAlignment="1" applyProtection="1">
      <alignment vertical="center"/>
      <protection/>
    </xf>
    <xf numFmtId="0" fontId="0" fillId="4" borderId="34" xfId="0" applyFont="1" applyFill="1" applyBorder="1" applyAlignment="1" applyProtection="1">
      <alignment vertical="center"/>
      <protection/>
    </xf>
    <xf numFmtId="0" fontId="0" fillId="4" borderId="30" xfId="0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 indent="5"/>
      <protection/>
    </xf>
    <xf numFmtId="0" fontId="2" fillId="5" borderId="29" xfId="0" applyFont="1" applyFill="1" applyBorder="1" applyAlignment="1" applyProtection="1">
      <alignment horizontal="left" vertical="center" indent="5"/>
      <protection/>
    </xf>
    <xf numFmtId="10" fontId="0" fillId="0" borderId="34" xfId="15" applyNumberFormat="1" applyFont="1" applyBorder="1" applyAlignment="1" applyProtection="1">
      <alignment vertical="center"/>
      <protection locked="0"/>
    </xf>
    <xf numFmtId="10" fontId="0" fillId="0" borderId="30" xfId="15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 applyProtection="1">
      <alignment horizontal="left" vertical="center" indent="5"/>
      <protection/>
    </xf>
    <xf numFmtId="165" fontId="0" fillId="0" borderId="22" xfId="15" applyNumberFormat="1" applyFont="1" applyBorder="1" applyAlignment="1" applyProtection="1">
      <alignment vertical="center"/>
      <protection locked="0"/>
    </xf>
    <xf numFmtId="165" fontId="0" fillId="0" borderId="23" xfId="15" applyNumberFormat="1" applyFont="1" applyBorder="1" applyAlignment="1" applyProtection="1">
      <alignment vertical="center"/>
      <protection locked="0"/>
    </xf>
    <xf numFmtId="165" fontId="0" fillId="0" borderId="24" xfId="15" applyNumberFormat="1" applyFont="1" applyBorder="1" applyAlignment="1" applyProtection="1">
      <alignment vertical="center"/>
      <protection locked="0"/>
    </xf>
    <xf numFmtId="0" fontId="2" fillId="5" borderId="22" xfId="0" applyFont="1" applyFill="1" applyBorder="1" applyAlignment="1" applyProtection="1">
      <alignment horizontal="left" vertical="center" indent="43"/>
      <protection/>
    </xf>
    <xf numFmtId="0" fontId="7" fillId="0" borderId="0" xfId="0" applyFont="1"/>
    <xf numFmtId="0" fontId="7" fillId="5" borderId="22" xfId="0" applyFont="1" applyFill="1" applyBorder="1" applyAlignment="1" applyProtection="1">
      <alignment horizontal="left" vertical="center"/>
      <protection/>
    </xf>
    <xf numFmtId="0" fontId="8" fillId="5" borderId="31" xfId="0" applyFont="1" applyFill="1" applyBorder="1" applyAlignment="1" applyProtection="1">
      <alignment horizontal="left" vertical="center"/>
      <protection/>
    </xf>
    <xf numFmtId="164" fontId="11" fillId="0" borderId="35" xfId="0" applyNumberFormat="1" applyFont="1" applyBorder="1" applyAlignment="1" applyProtection="1">
      <alignment vertical="center"/>
      <protection/>
    </xf>
    <xf numFmtId="164" fontId="11" fillId="0" borderId="32" xfId="0" applyNumberFormat="1" applyFont="1" applyBorder="1" applyAlignment="1" applyProtection="1">
      <alignment vertical="center"/>
      <protection/>
    </xf>
    <xf numFmtId="0" fontId="12" fillId="6" borderId="36" xfId="0" applyFont="1" applyFill="1" applyBorder="1" applyAlignment="1">
      <alignment vertical="center"/>
    </xf>
    <xf numFmtId="0" fontId="12" fillId="6" borderId="37" xfId="0" applyFont="1" applyFill="1" applyBorder="1" applyAlignment="1">
      <alignment vertical="center"/>
    </xf>
    <xf numFmtId="0" fontId="12" fillId="6" borderId="1" xfId="0" applyFont="1" applyFill="1" applyBorder="1" applyAlignment="1" applyProtection="1">
      <alignment horizontal="right" vertical="center"/>
      <protection/>
    </xf>
    <xf numFmtId="0" fontId="9" fillId="5" borderId="1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15" applyNumberFormat="1" applyFont="1" applyFill="1" applyBorder="1" applyAlignment="1">
      <alignment/>
    </xf>
    <xf numFmtId="166" fontId="0" fillId="0" borderId="0" xfId="18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0" fontId="9" fillId="5" borderId="34" xfId="0" applyFont="1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9" fillId="5" borderId="22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5" borderId="27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" fontId="0" fillId="0" borderId="22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horizontal="right" vertical="center"/>
    </xf>
    <xf numFmtId="0" fontId="0" fillId="5" borderId="32" xfId="0" applyFont="1" applyFill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0" fontId="2" fillId="0" borderId="30" xfId="0" applyFont="1" applyBorder="1" applyAlignment="1" applyProtection="1">
      <alignment vertical="center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28" xfId="0" applyFont="1" applyFill="1" applyBorder="1" applyAlignment="1" applyProtection="1">
      <alignment vertical="center"/>
      <protection/>
    </xf>
    <xf numFmtId="0" fontId="0" fillId="5" borderId="23" xfId="0" applyFont="1" applyFill="1" applyBorder="1" applyAlignment="1" applyProtection="1">
      <alignment horizontal="left" vertical="center" indent="25"/>
      <protection/>
    </xf>
    <xf numFmtId="0" fontId="0" fillId="5" borderId="34" xfId="0" applyFont="1" applyFill="1" applyBorder="1" applyAlignment="1" applyProtection="1">
      <alignment horizontal="left" vertical="center" indent="25"/>
      <protection/>
    </xf>
    <xf numFmtId="0" fontId="0" fillId="5" borderId="22" xfId="0" applyFont="1" applyFill="1" applyBorder="1" applyAlignment="1" applyProtection="1">
      <alignment horizontal="left" vertical="center" indent="45"/>
      <protection/>
    </xf>
    <xf numFmtId="0" fontId="0" fillId="5" borderId="29" xfId="0" applyFont="1" applyFill="1" applyBorder="1" applyAlignment="1" applyProtection="1">
      <alignment horizontal="left" vertical="center" indent="45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11"/>
        <name val="Calibri"/>
        <family val="2"/>
        <color auto="1"/>
      </font>
      <fill>
        <patternFill patternType="solid">
          <bgColor theme="0" tint="-0.24997000396251678"/>
        </patternFill>
      </fill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&quot;$&quot;#,##0.00"/>
      <alignment horizontal="general" vertical="center" textRotation="0" wrapText="1" shrinkToFit="1" readingOrder="0"/>
      <border>
        <left style="thin"/>
        <right/>
        <top/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&quot;$&quot;#,##0.00"/>
      <alignment horizontal="general" vertical="center" textRotation="0" wrapText="1" shrinkToFit="1" readingOrder="0"/>
      <border>
        <left style="thin"/>
        <right style="thin"/>
        <top/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&quot;$&quot;#,##0.00"/>
      <alignment horizontal="general" vertical="center" textRotation="0" wrapText="1" shrinkToFit="1" readingOrder="0"/>
      <border>
        <left style="medium"/>
        <right style="thin"/>
        <top/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right" vertical="center" textRotation="0" wrapText="1" shrinkToFit="1" readingOrder="0"/>
      <border>
        <left style="medium"/>
        <right style="medium"/>
        <top/>
        <bottom/>
        <vertical/>
        <horizontal/>
      </border>
      <protection hidden="1" locked="0"/>
    </dxf>
    <dxf>
      <border>
        <right style="medium"/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WPPA\ACTUARY\HEALTH\Community%20Rating\2017\zzz%20-%202016%20Forms\FOR%20PLANS%20Small%20HMO%20Form%20v7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ntrols"/>
      <sheetName val="data"/>
      <sheetName val="Current CR Payment1"/>
      <sheetName val="CR Payment Adjustment1"/>
      <sheetName val="Current CR Payment2"/>
      <sheetName val="CR Payment Adjustment2"/>
      <sheetName val="Current CR Payment3"/>
      <sheetName val="CR Payment Adjustment3"/>
    </sheetNames>
    <sheetDataSet>
      <sheetData sheetId="0" refreshError="1"/>
      <sheetData sheetId="1">
        <row r="1">
          <cell r="B1">
            <v>1</v>
          </cell>
        </row>
      </sheetData>
      <sheetData sheetId="2">
        <row r="3">
          <cell r="A3">
            <v>1</v>
          </cell>
          <cell r="B3">
            <v>2016</v>
          </cell>
          <cell r="C3" t="str">
            <v>Aetna HealthFund</v>
          </cell>
          <cell r="D3">
            <v>224</v>
          </cell>
          <cell r="E3" t="str">
            <v>N61</v>
          </cell>
          <cell r="F3">
            <v>0</v>
          </cell>
          <cell r="G3" t="str">
            <v>HDHP</v>
          </cell>
          <cell r="H3" t="str">
            <v>CDHP</v>
          </cell>
          <cell r="I3">
            <v>0</v>
          </cell>
          <cell r="J3">
            <v>22</v>
          </cell>
          <cell r="K3" t="str">
            <v>N6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 t="str">
            <v>C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4</v>
          </cell>
          <cell r="CQ3">
            <v>1</v>
          </cell>
          <cell r="CR3">
            <v>0</v>
          </cell>
          <cell r="CS3" t="str">
            <v>L</v>
          </cell>
          <cell r="CT3" t="str">
            <v>L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7.35</v>
          </cell>
          <cell r="DA3">
            <v>16.21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1</v>
          </cell>
          <cell r="DJ3">
            <v>2016</v>
          </cell>
          <cell r="DK3" t="str">
            <v>Aetna HealthFund</v>
          </cell>
          <cell r="DL3" t="str">
            <v>HDHP</v>
          </cell>
          <cell r="DM3" t="str">
            <v>CDHP</v>
          </cell>
          <cell r="DN3">
            <v>0</v>
          </cell>
          <cell r="DO3">
            <v>22</v>
          </cell>
          <cell r="DP3" t="str">
            <v>N6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230.91</v>
          </cell>
          <cell r="DX3">
            <v>509.36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0</v>
          </cell>
          <cell r="EY3">
            <v>0</v>
          </cell>
          <cell r="EZ3">
            <v>0</v>
          </cell>
          <cell r="FA3">
            <v>0</v>
          </cell>
          <cell r="FB3">
            <v>0</v>
          </cell>
          <cell r="FC3">
            <v>0</v>
          </cell>
          <cell r="FD3">
            <v>0</v>
          </cell>
          <cell r="FE3">
            <v>0</v>
          </cell>
          <cell r="FF3">
            <v>0</v>
          </cell>
          <cell r="FG3">
            <v>0</v>
          </cell>
          <cell r="FH3">
            <v>0</v>
          </cell>
          <cell r="FI3">
            <v>0</v>
          </cell>
          <cell r="FJ3">
            <v>0</v>
          </cell>
          <cell r="FK3">
            <v>0</v>
          </cell>
          <cell r="FL3">
            <v>0</v>
          </cell>
          <cell r="FM3">
            <v>0</v>
          </cell>
          <cell r="FN3">
            <v>0</v>
          </cell>
          <cell r="FO3">
            <v>0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0</v>
          </cell>
          <cell r="GA3">
            <v>0</v>
          </cell>
          <cell r="GB3">
            <v>210.05</v>
          </cell>
          <cell r="GC3">
            <v>529.74</v>
          </cell>
          <cell r="GD3">
            <v>0</v>
          </cell>
          <cell r="GE3">
            <v>0</v>
          </cell>
          <cell r="GF3">
            <v>0</v>
          </cell>
          <cell r="GG3">
            <v>0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0</v>
          </cell>
          <cell r="GU3">
            <v>0</v>
          </cell>
          <cell r="GV3">
            <v>0</v>
          </cell>
          <cell r="GW3">
            <v>0</v>
          </cell>
          <cell r="GX3">
            <v>0</v>
          </cell>
          <cell r="GY3">
            <v>0</v>
          </cell>
          <cell r="GZ3">
            <v>0</v>
          </cell>
          <cell r="HA3">
            <v>0</v>
          </cell>
          <cell r="HB3">
            <v>0</v>
          </cell>
          <cell r="HC3">
            <v>0</v>
          </cell>
          <cell r="HD3">
            <v>0</v>
          </cell>
          <cell r="HE3">
            <v>0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0</v>
          </cell>
          <cell r="HO3">
            <v>0</v>
          </cell>
          <cell r="HP3">
            <v>0</v>
          </cell>
          <cell r="HQ3">
            <v>0</v>
          </cell>
          <cell r="HR3">
            <v>0</v>
          </cell>
          <cell r="HS3">
            <v>0</v>
          </cell>
          <cell r="HT3">
            <v>0</v>
          </cell>
          <cell r="HU3">
            <v>0</v>
          </cell>
          <cell r="HV3">
            <v>0</v>
          </cell>
          <cell r="HW3">
            <v>0</v>
          </cell>
          <cell r="HX3">
            <v>0</v>
          </cell>
          <cell r="HY3">
            <v>0</v>
          </cell>
          <cell r="HZ3">
            <v>0</v>
          </cell>
          <cell r="IA3">
            <v>0</v>
          </cell>
          <cell r="IB3">
            <v>0</v>
          </cell>
          <cell r="IC3">
            <v>0</v>
          </cell>
          <cell r="ID3">
            <v>0</v>
          </cell>
          <cell r="IE3">
            <v>0</v>
          </cell>
          <cell r="IF3">
            <v>0</v>
          </cell>
          <cell r="IG3">
            <v>0</v>
          </cell>
          <cell r="IH3">
            <v>0</v>
          </cell>
          <cell r="II3">
            <v>0</v>
          </cell>
          <cell r="IJ3">
            <v>0</v>
          </cell>
          <cell r="IK3">
            <v>0</v>
          </cell>
          <cell r="IL3">
            <v>0</v>
          </cell>
          <cell r="IM3">
            <v>0</v>
          </cell>
          <cell r="IN3">
            <v>0</v>
          </cell>
          <cell r="IO3">
            <v>0</v>
          </cell>
          <cell r="IP3">
            <v>0</v>
          </cell>
          <cell r="IQ3">
            <v>0</v>
          </cell>
          <cell r="IR3">
            <v>0</v>
          </cell>
          <cell r="IS3">
            <v>0</v>
          </cell>
          <cell r="IT3">
            <v>0</v>
          </cell>
          <cell r="IU3">
            <v>0</v>
          </cell>
          <cell r="IV3">
            <v>0</v>
          </cell>
          <cell r="IW3">
            <v>0</v>
          </cell>
          <cell r="IX3">
            <v>0</v>
          </cell>
          <cell r="IY3">
            <v>0</v>
          </cell>
          <cell r="IZ3">
            <v>0</v>
          </cell>
          <cell r="JA3">
            <v>0</v>
          </cell>
          <cell r="JB3">
            <v>0</v>
          </cell>
          <cell r="JC3">
            <v>0</v>
          </cell>
          <cell r="JD3">
            <v>0</v>
          </cell>
          <cell r="JE3">
            <v>0</v>
          </cell>
          <cell r="JF3">
            <v>0</v>
          </cell>
          <cell r="JG3">
            <v>0</v>
          </cell>
          <cell r="JH3">
            <v>0</v>
          </cell>
          <cell r="JI3">
            <v>0</v>
          </cell>
          <cell r="JJ3">
            <v>0</v>
          </cell>
          <cell r="JK3">
            <v>0</v>
          </cell>
          <cell r="JL3">
            <v>0</v>
          </cell>
          <cell r="JM3">
            <v>0</v>
          </cell>
          <cell r="JN3">
            <v>0</v>
          </cell>
          <cell r="JO3">
            <v>0</v>
          </cell>
          <cell r="JP3">
            <v>0</v>
          </cell>
          <cell r="JQ3">
            <v>0</v>
          </cell>
          <cell r="JR3">
            <v>0</v>
          </cell>
          <cell r="JS3">
            <v>0</v>
          </cell>
          <cell r="JT3">
            <v>0</v>
          </cell>
          <cell r="JU3">
            <v>0</v>
          </cell>
          <cell r="JV3">
            <v>0</v>
          </cell>
          <cell r="JW3">
            <v>0</v>
          </cell>
          <cell r="JX3">
            <v>0</v>
          </cell>
          <cell r="JY3">
            <v>0</v>
          </cell>
          <cell r="JZ3">
            <v>0</v>
          </cell>
          <cell r="KA3">
            <v>0</v>
          </cell>
          <cell r="KB3">
            <v>0</v>
          </cell>
          <cell r="KC3">
            <v>0</v>
          </cell>
          <cell r="KD3">
            <v>0</v>
          </cell>
          <cell r="KE3">
            <v>0</v>
          </cell>
          <cell r="KF3">
            <v>0</v>
          </cell>
          <cell r="KG3">
            <v>0</v>
          </cell>
          <cell r="KH3">
            <v>0</v>
          </cell>
          <cell r="KI3">
            <v>0</v>
          </cell>
          <cell r="KJ3">
            <v>0</v>
          </cell>
          <cell r="KK3">
            <v>0</v>
          </cell>
          <cell r="KL3">
            <v>0</v>
          </cell>
          <cell r="KM3">
            <v>0</v>
          </cell>
          <cell r="KN3">
            <v>0</v>
          </cell>
          <cell r="KO3">
            <v>1</v>
          </cell>
          <cell r="KP3">
            <v>2016</v>
          </cell>
          <cell r="KQ3" t="str">
            <v>Aetna HealthFund</v>
          </cell>
          <cell r="KR3" t="str">
            <v>HDHP</v>
          </cell>
          <cell r="KS3" t="str">
            <v>CDHP</v>
          </cell>
          <cell r="KT3">
            <v>0</v>
          </cell>
          <cell r="KU3">
            <v>22</v>
          </cell>
          <cell r="KV3" t="str">
            <v>N6</v>
          </cell>
          <cell r="KW3">
            <v>0</v>
          </cell>
          <cell r="KX3">
            <v>224</v>
          </cell>
          <cell r="KY3" t="str">
            <v>N61</v>
          </cell>
          <cell r="KZ3">
            <v>0</v>
          </cell>
          <cell r="LA3">
            <v>0</v>
          </cell>
          <cell r="LB3">
            <v>0</v>
          </cell>
          <cell r="LC3">
            <v>0</v>
          </cell>
          <cell r="LD3">
            <v>0</v>
          </cell>
          <cell r="LE3">
            <v>0</v>
          </cell>
          <cell r="LF3">
            <v>0</v>
          </cell>
          <cell r="LG3">
            <v>10495861</v>
          </cell>
          <cell r="LH3">
            <v>0</v>
          </cell>
          <cell r="LI3">
            <v>0</v>
          </cell>
          <cell r="LJ3">
            <v>0</v>
          </cell>
          <cell r="LK3">
            <v>0</v>
          </cell>
          <cell r="LL3">
            <v>0</v>
          </cell>
          <cell r="LM3">
            <v>0</v>
          </cell>
          <cell r="LN3">
            <v>0</v>
          </cell>
          <cell r="LO3">
            <v>0</v>
          </cell>
          <cell r="LP3">
            <v>0</v>
          </cell>
          <cell r="LQ3">
            <v>0</v>
          </cell>
          <cell r="LR3">
            <v>0</v>
          </cell>
          <cell r="LS3">
            <v>0</v>
          </cell>
          <cell r="LT3">
            <v>0</v>
          </cell>
          <cell r="LU3">
            <v>0</v>
          </cell>
          <cell r="LV3">
            <v>0</v>
          </cell>
          <cell r="LW3">
            <v>0</v>
          </cell>
          <cell r="LX3">
            <v>0</v>
          </cell>
          <cell r="LY3">
            <v>0</v>
          </cell>
          <cell r="LZ3">
            <v>0</v>
          </cell>
          <cell r="MA3">
            <v>0</v>
          </cell>
          <cell r="MB3">
            <v>0</v>
          </cell>
          <cell r="MC3">
            <v>0</v>
          </cell>
          <cell r="MD3">
            <v>0</v>
          </cell>
          <cell r="ME3">
            <v>0</v>
          </cell>
          <cell r="MF3">
            <v>0</v>
          </cell>
          <cell r="MG3">
            <v>0</v>
          </cell>
          <cell r="MH3">
            <v>0</v>
          </cell>
          <cell r="MI3">
            <v>0</v>
          </cell>
          <cell r="MJ3">
            <v>0</v>
          </cell>
          <cell r="MK3">
            <v>0</v>
          </cell>
          <cell r="ML3">
            <v>0</v>
          </cell>
          <cell r="MM3">
            <v>0</v>
          </cell>
          <cell r="MN3">
            <v>0</v>
          </cell>
          <cell r="MO3">
            <v>0</v>
          </cell>
          <cell r="MP3">
            <v>0</v>
          </cell>
          <cell r="MQ3">
            <v>0</v>
          </cell>
          <cell r="MR3">
            <v>1</v>
          </cell>
          <cell r="MS3">
            <v>2016</v>
          </cell>
          <cell r="MT3" t="str">
            <v>Aetna HealthFund</v>
          </cell>
          <cell r="MU3">
            <v>224</v>
          </cell>
          <cell r="MV3" t="str">
            <v>N61</v>
          </cell>
          <cell r="MW3">
            <v>0</v>
          </cell>
          <cell r="MX3" t="str">
            <v>HDHP</v>
          </cell>
          <cell r="MY3" t="str">
            <v>CDHP</v>
          </cell>
          <cell r="MZ3">
            <v>0</v>
          </cell>
          <cell r="NA3">
            <v>22</v>
          </cell>
          <cell r="NB3" t="str">
            <v>N6</v>
          </cell>
          <cell r="NC3">
            <v>0</v>
          </cell>
          <cell r="ND3">
            <v>0</v>
          </cell>
          <cell r="NE3">
            <v>0</v>
          </cell>
          <cell r="NF3">
            <v>0</v>
          </cell>
          <cell r="NG3">
            <v>0</v>
          </cell>
          <cell r="NH3">
            <v>0</v>
          </cell>
          <cell r="NI3">
            <v>0</v>
          </cell>
          <cell r="NJ3">
            <v>0</v>
          </cell>
          <cell r="NK3">
            <v>0</v>
          </cell>
          <cell r="NL3">
            <v>0</v>
          </cell>
          <cell r="NM3">
            <v>0</v>
          </cell>
          <cell r="NN3">
            <v>0</v>
          </cell>
          <cell r="NO3">
            <v>0</v>
          </cell>
          <cell r="NP3">
            <v>0</v>
          </cell>
          <cell r="NQ3">
            <v>0</v>
          </cell>
          <cell r="NR3">
            <v>0</v>
          </cell>
          <cell r="NS3">
            <v>0</v>
          </cell>
          <cell r="NT3">
            <v>0</v>
          </cell>
          <cell r="NU3">
            <v>0</v>
          </cell>
          <cell r="NV3">
            <v>0</v>
          </cell>
          <cell r="NW3">
            <v>0</v>
          </cell>
          <cell r="NX3">
            <v>0</v>
          </cell>
          <cell r="NY3">
            <v>15.89</v>
          </cell>
          <cell r="NZ3">
            <v>0</v>
          </cell>
          <cell r="OA3">
            <v>0</v>
          </cell>
          <cell r="OB3">
            <v>0</v>
          </cell>
          <cell r="OC3">
            <v>499.37</v>
          </cell>
          <cell r="OD3">
            <v>0</v>
          </cell>
          <cell r="OE3">
            <v>0</v>
          </cell>
          <cell r="OF3">
            <v>0</v>
          </cell>
          <cell r="OG3">
            <v>0</v>
          </cell>
          <cell r="OH3">
            <v>0</v>
          </cell>
          <cell r="OI3">
            <v>0</v>
          </cell>
          <cell r="OJ3">
            <v>0</v>
          </cell>
          <cell r="OK3">
            <v>0</v>
          </cell>
          <cell r="OL3">
            <v>0</v>
          </cell>
          <cell r="OM3">
            <v>0</v>
          </cell>
          <cell r="ON3">
            <v>0</v>
          </cell>
          <cell r="OO3">
            <v>0</v>
          </cell>
          <cell r="OP3">
            <v>0</v>
          </cell>
          <cell r="OQ3">
            <v>0</v>
          </cell>
          <cell r="OR3">
            <v>0</v>
          </cell>
          <cell r="OS3">
            <v>460.65</v>
          </cell>
          <cell r="OT3">
            <v>0</v>
          </cell>
          <cell r="OU3">
            <v>0</v>
          </cell>
          <cell r="OV3">
            <v>0</v>
          </cell>
          <cell r="OW3">
            <v>0</v>
          </cell>
          <cell r="OX3">
            <v>0</v>
          </cell>
          <cell r="OY3">
            <v>0</v>
          </cell>
          <cell r="OZ3">
            <v>0</v>
          </cell>
          <cell r="PA3">
            <v>0</v>
          </cell>
          <cell r="PB3">
            <v>0</v>
          </cell>
          <cell r="PC3">
            <v>0</v>
          </cell>
          <cell r="PD3">
            <v>0</v>
          </cell>
          <cell r="PE3">
            <v>0</v>
          </cell>
          <cell r="PF3">
            <v>0</v>
          </cell>
          <cell r="PG3">
            <v>0</v>
          </cell>
          <cell r="PH3">
            <v>0</v>
          </cell>
          <cell r="PI3">
            <v>0</v>
          </cell>
          <cell r="PJ3">
            <v>0</v>
          </cell>
          <cell r="PK3">
            <v>0</v>
          </cell>
          <cell r="PL3">
            <v>0</v>
          </cell>
          <cell r="PM3">
            <v>0</v>
          </cell>
          <cell r="PN3">
            <v>0</v>
          </cell>
          <cell r="PO3">
            <v>0</v>
          </cell>
          <cell r="PP3">
            <v>0</v>
          </cell>
          <cell r="PQ3">
            <v>0</v>
          </cell>
          <cell r="PR3">
            <v>0</v>
          </cell>
          <cell r="PS3">
            <v>0</v>
          </cell>
          <cell r="PT3">
            <v>0</v>
          </cell>
          <cell r="PU3">
            <v>0</v>
          </cell>
          <cell r="PV3">
            <v>0</v>
          </cell>
          <cell r="PW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E8" totalsRowShown="0" headerRowDxfId="0" tableBorderDxfId="5">
  <autoFilter ref="B3:E8"/>
  <tableColumns count="4">
    <tableColumn id="1" name="Contribution/Rates" dataDxfId="4"/>
    <tableColumn id="2" name="Self" dataDxfId="3"/>
    <tableColumn id="3" name="Self+1" dataDxfId="2"/>
    <tableColumn id="4" name="Family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showGridLines="0" tabSelected="1" workbookViewId="0" topLeftCell="A1">
      <selection activeCell="K9" sqref="K9"/>
    </sheetView>
  </sheetViews>
  <sheetFormatPr defaultColWidth="9.140625" defaultRowHeight="15"/>
  <cols>
    <col min="1" max="6" width="9.140625" style="6" customWidth="1"/>
    <col min="7" max="7" width="9.421875" style="6" customWidth="1"/>
    <col min="8" max="8" width="6.140625" style="6" customWidth="1"/>
    <col min="9" max="11" width="12.28125" style="6" customWidth="1"/>
    <col min="12" max="12" width="5.421875" style="6" customWidth="1"/>
    <col min="13" max="13" width="5.421875" style="44" customWidth="1"/>
    <col min="14" max="14" width="44.28125" style="44" customWidth="1"/>
    <col min="15" max="17" width="12.8515625" style="44" customWidth="1"/>
    <col min="18" max="16384" width="9.140625" style="6" customWidth="1"/>
  </cols>
  <sheetData>
    <row r="1" spans="1:17" ht="28.5">
      <c r="A1" s="52" t="str">
        <f>"Attachment I - "&amp;year1&amp;" RATE PROPOSAL - SMALL CARRIERS"</f>
        <v>Attachment I - 2020 RATE PROPOSAL - SMALL CARRIERS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73"/>
      <c r="M1" s="74"/>
      <c r="N1" s="74"/>
      <c r="O1" s="74"/>
      <c r="P1" s="74"/>
      <c r="Q1" s="74"/>
    </row>
    <row r="2" spans="1:17" ht="18" customHeight="1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73"/>
      <c r="M2" s="74"/>
      <c r="N2" s="77"/>
      <c r="O2" s="78"/>
      <c r="P2" s="78"/>
      <c r="Q2" s="78"/>
    </row>
    <row r="3" spans="1:17" ht="37.5" customHeight="1">
      <c r="A3" s="86" t="s">
        <v>1</v>
      </c>
      <c r="B3" s="86"/>
      <c r="C3" s="88"/>
      <c r="D3" s="89"/>
      <c r="E3" s="89"/>
      <c r="F3" s="89"/>
      <c r="G3" s="89"/>
      <c r="H3" s="89"/>
      <c r="I3" s="89"/>
      <c r="J3" s="89"/>
      <c r="K3" s="90"/>
      <c r="L3" s="73"/>
      <c r="M3" s="74"/>
      <c r="N3" s="77"/>
      <c r="O3" s="78"/>
      <c r="P3" s="78"/>
      <c r="Q3" s="78"/>
    </row>
    <row r="4" spans="1:17" ht="35.25" customHeight="1">
      <c r="A4" s="87" t="s">
        <v>2</v>
      </c>
      <c r="B4" s="96"/>
      <c r="C4" s="97" t="s">
        <v>3</v>
      </c>
      <c r="D4" s="98"/>
      <c r="E4" s="91" t="s">
        <v>99</v>
      </c>
      <c r="F4" s="92"/>
      <c r="G4" s="92"/>
      <c r="H4" s="92"/>
      <c r="I4" s="93"/>
      <c r="J4" s="94"/>
      <c r="K4" s="95"/>
      <c r="L4" s="73"/>
      <c r="M4" s="74"/>
      <c r="N4" s="77"/>
      <c r="O4" s="78"/>
      <c r="P4" s="78"/>
      <c r="Q4" s="78"/>
    </row>
    <row r="5" spans="1:17" ht="18" customHeight="1">
      <c r="A5" s="60" t="s">
        <v>96</v>
      </c>
      <c r="B5" s="99">
        <v>2020</v>
      </c>
      <c r="C5" s="91"/>
      <c r="D5" s="92"/>
      <c r="E5" s="92"/>
      <c r="F5" s="92"/>
      <c r="G5" s="92"/>
      <c r="H5" s="92"/>
      <c r="I5" s="92"/>
      <c r="J5" s="92"/>
      <c r="K5" s="93"/>
      <c r="L5" s="73"/>
      <c r="M5" s="76"/>
      <c r="N5" s="76"/>
      <c r="O5" s="76"/>
      <c r="P5" s="76"/>
      <c r="Q5" s="76"/>
    </row>
    <row r="6" spans="1:17" ht="18" customHeight="1">
      <c r="A6" s="102" t="str">
        <f>"Q1. What type(s) of community rating do you propose to use for the Federal group in "&amp;year1&amp;"?"</f>
        <v>Q1. What type(s) of community rating do you propose to use for the Federal group in 2020?</v>
      </c>
      <c r="B6" s="103"/>
      <c r="C6" s="103"/>
      <c r="D6" s="103"/>
      <c r="E6" s="103"/>
      <c r="F6" s="103"/>
      <c r="G6" s="103"/>
      <c r="H6" s="103"/>
      <c r="I6" s="103"/>
      <c r="J6" s="103"/>
      <c r="K6" s="106"/>
      <c r="L6" s="73"/>
      <c r="M6" s="74"/>
      <c r="N6" s="74"/>
      <c r="O6" s="79"/>
      <c r="P6" s="74"/>
      <c r="Q6" s="74"/>
    </row>
    <row r="7" spans="1:17" ht="18" customHeight="1">
      <c r="A7" s="259" t="s">
        <v>4</v>
      </c>
      <c r="B7" s="104"/>
      <c r="C7" s="104"/>
      <c r="D7" s="104"/>
      <c r="E7" s="104"/>
      <c r="F7" s="104"/>
      <c r="G7" s="104"/>
      <c r="H7" s="257"/>
      <c r="I7" s="103"/>
      <c r="J7" s="106"/>
      <c r="K7" s="253"/>
      <c r="L7" s="73"/>
      <c r="M7" s="74"/>
      <c r="N7" s="74"/>
      <c r="O7" s="75"/>
      <c r="P7" s="75"/>
      <c r="Q7" s="75"/>
    </row>
    <row r="8" spans="1:17" ht="18" customHeight="1">
      <c r="A8" s="260" t="s">
        <v>5</v>
      </c>
      <c r="B8" s="105"/>
      <c r="C8" s="105"/>
      <c r="D8" s="105"/>
      <c r="E8" s="105"/>
      <c r="F8" s="105"/>
      <c r="G8" s="105"/>
      <c r="H8" s="258"/>
      <c r="I8" s="101"/>
      <c r="J8" s="147"/>
      <c r="K8" s="253"/>
      <c r="L8" s="73"/>
      <c r="M8" s="74"/>
      <c r="N8" s="74"/>
      <c r="O8" s="75"/>
      <c r="P8" s="76"/>
      <c r="Q8" s="75"/>
    </row>
    <row r="9" spans="1:17" ht="18" customHeight="1">
      <c r="A9" s="260" t="s">
        <v>6</v>
      </c>
      <c r="B9" s="105"/>
      <c r="C9" s="105"/>
      <c r="D9" s="105"/>
      <c r="E9" s="105"/>
      <c r="F9" s="105"/>
      <c r="G9" s="105"/>
      <c r="H9" s="258"/>
      <c r="I9" s="101"/>
      <c r="J9" s="147"/>
      <c r="K9" s="253"/>
      <c r="L9" s="73"/>
      <c r="M9" s="74"/>
      <c r="N9" s="74"/>
      <c r="O9" s="75"/>
      <c r="P9" s="76"/>
      <c r="Q9" s="75"/>
    </row>
    <row r="10" spans="1:17" ht="36.75" customHeight="1">
      <c r="A10" s="254"/>
      <c r="B10" s="255"/>
      <c r="C10" s="255"/>
      <c r="D10" s="255"/>
      <c r="E10" s="255"/>
      <c r="F10" s="255"/>
      <c r="G10" s="255"/>
      <c r="H10" s="256"/>
      <c r="I10" s="112" t="s">
        <v>7</v>
      </c>
      <c r="J10" s="113" t="s">
        <v>98</v>
      </c>
      <c r="K10" s="113" t="s">
        <v>8</v>
      </c>
      <c r="L10" s="73"/>
      <c r="M10" s="74"/>
      <c r="N10" s="77"/>
      <c r="O10" s="78"/>
      <c r="P10" s="78"/>
      <c r="Q10" s="78"/>
    </row>
    <row r="11" spans="1:17" ht="15">
      <c r="A11" s="122" t="str">
        <f>"Q2. What are the "&amp;year1&amp;" proposed Federal group rates?"</f>
        <v>Q2. What are the 2020 proposed Federal group rates?</v>
      </c>
      <c r="B11" s="121"/>
      <c r="C11" s="121"/>
      <c r="D11" s="121"/>
      <c r="E11" s="121"/>
      <c r="F11" s="121"/>
      <c r="G11" s="121"/>
      <c r="H11" s="121"/>
      <c r="I11" s="115"/>
      <c r="J11" s="116"/>
      <c r="K11" s="117"/>
      <c r="L11" s="73"/>
      <c r="M11" s="74"/>
      <c r="N11" s="77"/>
      <c r="O11" s="78"/>
      <c r="P11" s="78"/>
      <c r="Q11" s="78"/>
    </row>
    <row r="12" spans="1:17" ht="15">
      <c r="A12" s="123" t="str">
        <f>"If your "&amp;year1-1&amp;" Federal group income is greater than or equal to $750,000,"</f>
        <v>If your 2019 Federal group income is greater than or equal to $750,000,</v>
      </c>
      <c r="B12" s="124"/>
      <c r="C12" s="124"/>
      <c r="D12" s="124"/>
      <c r="E12" s="124"/>
      <c r="F12" s="124"/>
      <c r="G12" s="124"/>
      <c r="H12" s="124"/>
      <c r="I12" s="118"/>
      <c r="J12" s="114"/>
      <c r="K12" s="119"/>
      <c r="L12" s="73"/>
      <c r="M12" s="74"/>
      <c r="N12" s="74"/>
      <c r="O12" s="74"/>
      <c r="P12" s="74"/>
      <c r="Q12" s="74"/>
    </row>
    <row r="13" spans="1:17" ht="15">
      <c r="A13" s="123" t="s">
        <v>115</v>
      </c>
      <c r="B13" s="124"/>
      <c r="C13" s="124"/>
      <c r="D13" s="124"/>
      <c r="E13" s="124"/>
      <c r="F13" s="124"/>
      <c r="G13" s="124"/>
      <c r="H13" s="124"/>
      <c r="I13" s="118"/>
      <c r="J13" s="114"/>
      <c r="K13" s="119"/>
      <c r="L13" s="73"/>
      <c r="M13" s="74"/>
      <c r="N13" s="80"/>
      <c r="O13" s="75"/>
      <c r="P13" s="75"/>
      <c r="Q13" s="75"/>
    </row>
    <row r="14" spans="1:17" ht="18" customHeight="1">
      <c r="A14" s="110"/>
      <c r="B14" s="110"/>
      <c r="C14" s="110"/>
      <c r="D14" s="110"/>
      <c r="E14" s="110"/>
      <c r="F14" s="110"/>
      <c r="G14" s="55" t="s">
        <v>9</v>
      </c>
      <c r="H14" s="110"/>
      <c r="I14" s="118"/>
      <c r="J14" s="114"/>
      <c r="K14" s="119"/>
      <c r="L14" s="73"/>
      <c r="M14" s="76"/>
      <c r="N14" s="80"/>
      <c r="O14" s="75"/>
      <c r="P14" s="76"/>
      <c r="Q14" s="75"/>
    </row>
    <row r="15" spans="1:17" ht="15">
      <c r="A15" s="128" t="str">
        <f>"Q3. Enter the adjustment to the "&amp;year1&amp;" proposed Federal group rates"</f>
        <v>Q3. Enter the adjustment to the 2020 proposed Federal group rates</v>
      </c>
      <c r="B15" s="129"/>
      <c r="C15" s="129"/>
      <c r="D15" s="129"/>
      <c r="E15" s="129"/>
      <c r="F15" s="130"/>
      <c r="G15" s="129"/>
      <c r="H15" s="129"/>
      <c r="I15" s="115"/>
      <c r="J15" s="116"/>
      <c r="K15" s="117"/>
      <c r="L15" s="73"/>
      <c r="M15" s="76"/>
      <c r="N15" s="77"/>
      <c r="O15" s="78"/>
      <c r="P15" s="78"/>
      <c r="Q15" s="78"/>
    </row>
    <row r="16" spans="1:17" ht="15">
      <c r="A16" s="122" t="str">
        <f>"as a result of the reconciliation of the "&amp;year1-1&amp;" Federal group rates."</f>
        <v>as a result of the reconciliation of the 2019 Federal group rates.</v>
      </c>
      <c r="B16" s="130"/>
      <c r="C16" s="130"/>
      <c r="D16" s="130"/>
      <c r="E16" s="130"/>
      <c r="F16" s="130"/>
      <c r="G16" s="130"/>
      <c r="H16" s="130"/>
      <c r="I16" s="118"/>
      <c r="J16" s="114"/>
      <c r="K16" s="119"/>
      <c r="L16" s="73"/>
      <c r="M16" s="80"/>
      <c r="N16" s="77"/>
      <c r="O16" s="78"/>
      <c r="P16" s="78"/>
      <c r="Q16" s="78"/>
    </row>
    <row r="17" spans="1:17" ht="15">
      <c r="A17" s="123" t="str">
        <f>"If your actual "&amp;year1-1&amp;" Federal group rates were higher than estimated in the "&amp;year1-1&amp;" proposal,"</f>
        <v>If your actual 2019 Federal group rates were higher than estimated in the 2019 proposal,</v>
      </c>
      <c r="B17" s="124"/>
      <c r="C17" s="124"/>
      <c r="D17" s="124"/>
      <c r="E17" s="124"/>
      <c r="F17" s="124"/>
      <c r="G17" s="124"/>
      <c r="H17" s="124"/>
      <c r="I17" s="118"/>
      <c r="J17" s="114"/>
      <c r="K17" s="119"/>
      <c r="L17" s="73"/>
      <c r="M17" s="80"/>
      <c r="N17" s="77"/>
      <c r="O17" s="78"/>
      <c r="P17" s="78"/>
      <c r="Q17" s="78"/>
    </row>
    <row r="18" spans="1:17" ht="15">
      <c r="A18" s="123" t="str">
        <f>"the "&amp;year1&amp;" rates should be increased to recover the loss."</f>
        <v>the 2020 rates should be increased to recover the loss.</v>
      </c>
      <c r="B18" s="124"/>
      <c r="C18" s="124"/>
      <c r="D18" s="124"/>
      <c r="E18" s="124"/>
      <c r="F18" s="124"/>
      <c r="G18" s="124"/>
      <c r="H18" s="124"/>
      <c r="I18" s="118"/>
      <c r="J18" s="114"/>
      <c r="K18" s="119"/>
      <c r="L18" s="73"/>
      <c r="M18" s="80"/>
      <c r="N18" s="77"/>
      <c r="O18" s="78"/>
      <c r="P18" s="78"/>
      <c r="Q18" s="78"/>
    </row>
    <row r="19" spans="1:17" ht="15">
      <c r="A19" s="123" t="str">
        <f>"Likewise, if the actual "&amp;year1-1&amp;" Federal group rates were less than estimated"</f>
        <v>Likewise, if the actual 2019 Federal group rates were less than estimated</v>
      </c>
      <c r="B19" s="124"/>
      <c r="C19" s="124"/>
      <c r="D19" s="124"/>
      <c r="E19" s="124"/>
      <c r="F19" s="124"/>
      <c r="G19" s="124"/>
      <c r="H19" s="124"/>
      <c r="I19" s="118"/>
      <c r="J19" s="114"/>
      <c r="K19" s="119"/>
      <c r="L19" s="73"/>
      <c r="M19" s="80"/>
      <c r="N19" s="80"/>
      <c r="O19" s="80"/>
      <c r="P19" s="76"/>
      <c r="Q19" s="80"/>
    </row>
    <row r="20" spans="1:17" ht="15">
      <c r="A20" s="123" t="str">
        <f>"in the "&amp;year1-1&amp;" proposal, the "&amp;year1&amp;" rates should be decreased to return the gain to OPM."</f>
        <v>in the 2019 proposal, the 2020 rates should be decreased to return the gain to OPM.</v>
      </c>
      <c r="B20" s="124"/>
      <c r="C20" s="124"/>
      <c r="D20" s="124"/>
      <c r="E20" s="124"/>
      <c r="F20" s="124"/>
      <c r="G20" s="124"/>
      <c r="H20" s="124"/>
      <c r="I20" s="118"/>
      <c r="J20" s="114"/>
      <c r="K20" s="119"/>
      <c r="L20" s="73"/>
      <c r="M20" s="80"/>
      <c r="N20" s="80"/>
      <c r="O20" s="75"/>
      <c r="P20" s="75"/>
      <c r="Q20" s="75"/>
    </row>
    <row r="21" spans="1:17" ht="18" customHeight="1">
      <c r="A21" s="110"/>
      <c r="B21" s="110"/>
      <c r="C21" s="110"/>
      <c r="D21" s="110"/>
      <c r="E21" s="110"/>
      <c r="F21" s="110"/>
      <c r="G21" s="55" t="s">
        <v>10</v>
      </c>
      <c r="H21" s="110"/>
      <c r="I21" s="118"/>
      <c r="J21" s="114"/>
      <c r="K21" s="119"/>
      <c r="L21" s="73"/>
      <c r="M21" s="80"/>
      <c r="N21" s="80"/>
      <c r="O21" s="75"/>
      <c r="P21" s="76"/>
      <c r="Q21" s="75"/>
    </row>
    <row r="22" spans="1:17" ht="18" customHeight="1">
      <c r="A22" s="128" t="str">
        <f>"Q4. What are the proposed "&amp;year1&amp;" Federal group rates after adjustments?"</f>
        <v>Q4. What are the proposed 2020 Federal group rates after adjustments?</v>
      </c>
      <c r="B22" s="129"/>
      <c r="C22" s="129"/>
      <c r="D22" s="129"/>
      <c r="E22" s="129"/>
      <c r="F22" s="129"/>
      <c r="G22" s="130"/>
      <c r="H22" s="129"/>
      <c r="I22" s="141"/>
      <c r="J22" s="142"/>
      <c r="K22" s="143"/>
      <c r="L22" s="73"/>
      <c r="M22" s="80"/>
      <c r="N22" s="77"/>
      <c r="O22" s="78"/>
      <c r="P22" s="78"/>
      <c r="Q22" s="78"/>
    </row>
    <row r="23" spans="1:17" ht="18" customHeight="1">
      <c r="A23" s="123" t="s">
        <v>97</v>
      </c>
      <c r="B23" s="124"/>
      <c r="C23" s="124"/>
      <c r="D23" s="124"/>
      <c r="E23" s="124"/>
      <c r="F23" s="124"/>
      <c r="G23" s="124"/>
      <c r="H23" s="124"/>
      <c r="I23" s="144">
        <f>ROUND(I11+I15,2)</f>
        <v>0</v>
      </c>
      <c r="J23" s="140">
        <f>ROUND(J11+J15,2)</f>
        <v>0</v>
      </c>
      <c r="K23" s="145">
        <f>ROUND(K11+K15,2)</f>
        <v>0</v>
      </c>
      <c r="L23" s="73"/>
      <c r="M23" s="80"/>
      <c r="N23" s="77"/>
      <c r="O23" s="78"/>
      <c r="P23" s="78"/>
      <c r="Q23" s="78"/>
    </row>
    <row r="24" spans="1:17" ht="18" customHeight="1">
      <c r="A24" s="148"/>
      <c r="B24" s="148"/>
      <c r="C24" s="148"/>
      <c r="D24" s="148"/>
      <c r="E24" s="148"/>
      <c r="F24" s="148"/>
      <c r="G24" s="132" t="s">
        <v>11</v>
      </c>
      <c r="H24" s="148"/>
      <c r="I24" s="144"/>
      <c r="J24" s="140"/>
      <c r="K24" s="145"/>
      <c r="L24" s="73"/>
      <c r="M24" s="80"/>
      <c r="N24" s="77"/>
      <c r="O24" s="78"/>
      <c r="P24" s="78"/>
      <c r="Q24" s="78"/>
    </row>
    <row r="25" spans="1:17" ht="15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6"/>
      <c r="L25" s="73"/>
      <c r="M25" s="80"/>
      <c r="N25" s="77"/>
      <c r="O25" s="78"/>
      <c r="P25" s="78"/>
      <c r="Q25" s="78"/>
    </row>
    <row r="26" spans="1:17" ht="15">
      <c r="A26" s="109" t="s">
        <v>117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1"/>
      <c r="L26" s="73"/>
      <c r="M26" s="80"/>
      <c r="N26" s="80"/>
      <c r="O26" s="80"/>
      <c r="P26" s="74"/>
      <c r="Q26" s="80"/>
    </row>
    <row r="27" spans="1:17" ht="18" customHeight="1">
      <c r="A27" s="152" t="s">
        <v>100</v>
      </c>
      <c r="B27" s="100"/>
      <c r="C27" s="100"/>
      <c r="D27" s="100"/>
      <c r="E27" s="100"/>
      <c r="F27" s="100"/>
      <c r="G27" s="100"/>
      <c r="H27" s="108"/>
      <c r="I27" s="149"/>
      <c r="J27" s="150"/>
      <c r="K27" s="151"/>
      <c r="L27" s="73"/>
      <c r="M27" s="80"/>
      <c r="N27" s="80"/>
      <c r="O27" s="75"/>
      <c r="P27" s="75"/>
      <c r="Q27" s="75"/>
    </row>
    <row r="28" spans="1:17" ht="15">
      <c r="A28" s="128" t="s">
        <v>118</v>
      </c>
      <c r="B28" s="129"/>
      <c r="C28" s="129"/>
      <c r="D28" s="129"/>
      <c r="E28" s="129"/>
      <c r="F28" s="129"/>
      <c r="G28" s="129"/>
      <c r="H28" s="129"/>
      <c r="I28" s="115"/>
      <c r="J28" s="116"/>
      <c r="K28" s="117"/>
      <c r="L28" s="73"/>
      <c r="M28" s="80"/>
      <c r="N28" s="77"/>
      <c r="O28" s="78"/>
      <c r="P28" s="78"/>
      <c r="Q28" s="78"/>
    </row>
    <row r="29" spans="1:17" ht="15">
      <c r="A29" s="122" t="s">
        <v>119</v>
      </c>
      <c r="B29" s="130"/>
      <c r="C29" s="130"/>
      <c r="D29" s="130"/>
      <c r="E29" s="130"/>
      <c r="F29" s="130"/>
      <c r="G29" s="130"/>
      <c r="H29" s="130"/>
      <c r="I29" s="118"/>
      <c r="J29" s="114"/>
      <c r="K29" s="119"/>
      <c r="L29" s="73"/>
      <c r="M29" s="80"/>
      <c r="N29" s="77"/>
      <c r="O29" s="78"/>
      <c r="P29" s="78"/>
      <c r="Q29" s="78"/>
    </row>
    <row r="30" spans="1:17" ht="18" customHeight="1">
      <c r="A30" s="100"/>
      <c r="B30" s="100"/>
      <c r="C30" s="100"/>
      <c r="D30" s="100"/>
      <c r="E30" s="100"/>
      <c r="F30" s="100"/>
      <c r="G30" s="131" t="s">
        <v>13</v>
      </c>
      <c r="H30" s="100"/>
      <c r="I30" s="118"/>
      <c r="J30" s="114"/>
      <c r="K30" s="119"/>
      <c r="L30" s="73"/>
      <c r="M30" s="80"/>
      <c r="N30" s="77"/>
      <c r="O30" s="78"/>
      <c r="P30" s="78"/>
      <c r="Q30" s="78"/>
    </row>
    <row r="31" spans="1:17" ht="18" customHeight="1">
      <c r="A31" s="128" t="str">
        <f>""&amp;year1&amp;" FEHBP Rates"</f>
        <v>2020 FEHBP Rates</v>
      </c>
      <c r="B31" s="129"/>
      <c r="C31" s="129"/>
      <c r="D31" s="129"/>
      <c r="E31" s="129"/>
      <c r="F31" s="129"/>
      <c r="G31" s="129"/>
      <c r="H31" s="129"/>
      <c r="I31" s="153"/>
      <c r="J31" s="154"/>
      <c r="K31" s="155"/>
      <c r="L31" s="73"/>
      <c r="M31" s="80"/>
      <c r="N31" s="77"/>
      <c r="O31" s="78"/>
      <c r="P31" s="78"/>
      <c r="Q31" s="78"/>
    </row>
    <row r="32" spans="1:17" ht="18" customHeight="1">
      <c r="A32" s="122"/>
      <c r="B32" s="130"/>
      <c r="C32" s="130"/>
      <c r="D32" s="130"/>
      <c r="E32" s="130"/>
      <c r="F32" s="130"/>
      <c r="G32" s="130"/>
      <c r="H32" s="130"/>
      <c r="I32" s="135">
        <f>ROUND(I23-I28,2)</f>
        <v>0</v>
      </c>
      <c r="J32" s="134">
        <f>ROUND(J23-J28,2)</f>
        <v>0</v>
      </c>
      <c r="K32" s="136">
        <f>ROUND(K23-K28,2)</f>
        <v>0</v>
      </c>
      <c r="L32" s="73"/>
      <c r="M32" s="80"/>
      <c r="N32" s="80"/>
      <c r="O32" s="80"/>
      <c r="P32" s="74"/>
      <c r="Q32" s="80"/>
    </row>
    <row r="33" spans="1:17" ht="18" customHeight="1">
      <c r="A33" s="109"/>
      <c r="B33" s="110"/>
      <c r="C33" s="110"/>
      <c r="D33" s="110"/>
      <c r="E33" s="110"/>
      <c r="F33" s="110"/>
      <c r="G33" s="55" t="s">
        <v>14</v>
      </c>
      <c r="H33" s="110"/>
      <c r="I33" s="137"/>
      <c r="J33" s="138"/>
      <c r="K33" s="133"/>
      <c r="L33" s="73"/>
      <c r="M33" s="80"/>
      <c r="N33" s="80"/>
      <c r="O33" s="76"/>
      <c r="P33" s="76"/>
      <c r="Q33" s="75"/>
    </row>
    <row r="34" spans="12:17" ht="18" customHeight="1">
      <c r="L34" s="73"/>
      <c r="M34" s="80"/>
      <c r="N34" s="80"/>
      <c r="O34" s="75"/>
      <c r="P34" s="76"/>
      <c r="Q34" s="75"/>
    </row>
    <row r="35" spans="12:17" ht="18" customHeight="1">
      <c r="L35" s="73"/>
      <c r="M35" s="80"/>
      <c r="N35" s="77"/>
      <c r="O35" s="81"/>
      <c r="P35" s="81"/>
      <c r="Q35" s="81"/>
    </row>
    <row r="36" spans="12:17" ht="18" customHeight="1">
      <c r="L36" s="73"/>
      <c r="M36" s="80"/>
      <c r="N36" s="77"/>
      <c r="O36" s="81"/>
      <c r="P36" s="81"/>
      <c r="Q36" s="81"/>
    </row>
    <row r="37" spans="12:17" ht="18" customHeight="1">
      <c r="L37" s="73"/>
      <c r="M37" s="80"/>
      <c r="N37" s="77"/>
      <c r="O37" s="81"/>
      <c r="P37" s="81"/>
      <c r="Q37" s="81"/>
    </row>
    <row r="38" spans="12:17" ht="18" customHeight="1">
      <c r="L38" s="73"/>
      <c r="M38" s="80"/>
      <c r="N38" s="77"/>
      <c r="O38" s="81"/>
      <c r="P38" s="81"/>
      <c r="Q38" s="81"/>
    </row>
    <row r="39" spans="12:17" ht="18" customHeight="1">
      <c r="L39" s="73"/>
      <c r="M39" s="80"/>
      <c r="N39" s="80"/>
      <c r="O39" s="80"/>
      <c r="P39" s="80"/>
      <c r="Q39" s="80"/>
    </row>
    <row r="40" spans="12:17" ht="18" customHeight="1">
      <c r="L40" s="73"/>
      <c r="M40" s="80"/>
      <c r="N40" s="74"/>
      <c r="O40" s="80"/>
      <c r="P40" s="80"/>
      <c r="Q40" s="80"/>
    </row>
    <row r="41" spans="12:17" ht="18" customHeight="1">
      <c r="L41" s="73"/>
      <c r="M41" s="80"/>
      <c r="N41" s="74"/>
      <c r="O41" s="80"/>
      <c r="P41" s="80"/>
      <c r="Q41" s="80"/>
    </row>
    <row r="42" spans="12:17" ht="18" customHeight="1">
      <c r="L42" s="73"/>
      <c r="M42" s="80"/>
      <c r="N42" s="74"/>
      <c r="O42" s="80"/>
      <c r="P42" s="80"/>
      <c r="Q42" s="80"/>
    </row>
    <row r="43" spans="12:17" ht="15">
      <c r="L43" s="73"/>
      <c r="M43" s="80"/>
      <c r="N43" s="74"/>
      <c r="O43" s="80"/>
      <c r="P43" s="80"/>
      <c r="Q43" s="80"/>
    </row>
    <row r="44" spans="12:17" ht="15">
      <c r="L44" s="73"/>
      <c r="M44" s="82"/>
      <c r="N44" s="82"/>
      <c r="O44" s="82"/>
      <c r="P44" s="82"/>
      <c r="Q44" s="82"/>
    </row>
  </sheetData>
  <protectedRanges>
    <protectedRange sqref="M10:M11" name="Range5_1"/>
  </protectedRanges>
  <printOptions/>
  <pageMargins left="0.7" right="0.7" top="0.75" bottom="0.75" header="0.3" footer="0.3"/>
  <pageSetup fitToHeight="0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0"/>
  <sheetViews>
    <sheetView showGridLines="0" workbookViewId="0" topLeftCell="A1">
      <selection activeCell="A2" sqref="A2"/>
    </sheetView>
  </sheetViews>
  <sheetFormatPr defaultColWidth="9.140625" defaultRowHeight="15"/>
  <cols>
    <col min="1" max="6" width="9.140625" style="6" customWidth="1"/>
    <col min="7" max="7" width="38.421875" style="6" customWidth="1"/>
    <col min="8" max="8" width="15.00390625" style="6" customWidth="1"/>
    <col min="9" max="9" width="13.57421875" style="6" customWidth="1"/>
    <col min="10" max="10" width="13.00390625" style="6" customWidth="1"/>
    <col min="11" max="11" width="5.28125" style="6" customWidth="1"/>
    <col min="12" max="12" width="5.421875" style="44" customWidth="1"/>
    <col min="13" max="13" width="44.28125" style="44" customWidth="1"/>
    <col min="14" max="16" width="12.8515625" style="44" customWidth="1"/>
    <col min="17" max="16384" width="9.140625" style="6" customWidth="1"/>
  </cols>
  <sheetData>
    <row r="1" spans="1:16" ht="28.5">
      <c r="A1" s="185" t="str">
        <f>"Attachment II - "&amp;year&amp;" RATE PROPOSAL - LARGE CARRIERS"</f>
        <v>Attachment II - 2020 RATE PROPOSAL - LARGE CARRIERS</v>
      </c>
      <c r="B1" s="53"/>
      <c r="C1" s="53"/>
      <c r="D1" s="53"/>
      <c r="E1" s="53"/>
      <c r="F1" s="53"/>
      <c r="G1" s="53"/>
      <c r="H1" s="53"/>
      <c r="I1" s="53"/>
      <c r="J1" s="54"/>
      <c r="K1" s="73"/>
      <c r="L1" s="74"/>
      <c r="M1" s="74"/>
      <c r="N1" s="74"/>
      <c r="O1" s="74"/>
      <c r="P1" s="74"/>
    </row>
    <row r="2" spans="1:16" ht="24.75" customHeight="1">
      <c r="A2" s="186" t="s">
        <v>0</v>
      </c>
      <c r="B2" s="84"/>
      <c r="C2" s="84"/>
      <c r="D2" s="84"/>
      <c r="E2" s="84"/>
      <c r="F2" s="84"/>
      <c r="G2" s="84"/>
      <c r="H2" s="84"/>
      <c r="I2" s="84"/>
      <c r="J2" s="85"/>
      <c r="K2" s="73"/>
      <c r="L2" s="74"/>
      <c r="M2" s="77"/>
      <c r="N2" s="78"/>
      <c r="O2" s="78"/>
      <c r="P2" s="78"/>
    </row>
    <row r="3" spans="1:16" ht="37.5" customHeight="1">
      <c r="A3" s="86" t="s">
        <v>1</v>
      </c>
      <c r="B3" s="86"/>
      <c r="C3" s="160"/>
      <c r="D3" s="161"/>
      <c r="E3" s="161"/>
      <c r="F3" s="161"/>
      <c r="G3" s="161"/>
      <c r="H3" s="161"/>
      <c r="I3" s="161"/>
      <c r="J3" s="162"/>
      <c r="K3" s="73"/>
      <c r="L3" s="74"/>
      <c r="M3" s="77"/>
      <c r="N3" s="78"/>
      <c r="O3" s="78"/>
      <c r="P3" s="78"/>
    </row>
    <row r="4" spans="1:16" ht="36.75" customHeight="1">
      <c r="A4" s="57" t="s">
        <v>2</v>
      </c>
      <c r="B4" s="98"/>
      <c r="C4" s="60" t="s">
        <v>3</v>
      </c>
      <c r="D4" s="98"/>
      <c r="E4" s="102" t="s">
        <v>99</v>
      </c>
      <c r="F4" s="61"/>
      <c r="G4" s="103"/>
      <c r="H4" s="106"/>
      <c r="I4" s="94"/>
      <c r="J4" s="95"/>
      <c r="K4" s="73"/>
      <c r="L4" s="74"/>
      <c r="M4" s="77"/>
      <c r="N4" s="78"/>
      <c r="O4" s="78"/>
      <c r="P4" s="78"/>
    </row>
    <row r="5" spans="1:16" ht="18" customHeight="1">
      <c r="A5" s="60" t="s">
        <v>96</v>
      </c>
      <c r="B5" s="165">
        <v>2020</v>
      </c>
      <c r="C5" s="91"/>
      <c r="D5" s="92"/>
      <c r="E5" s="92"/>
      <c r="F5" s="92"/>
      <c r="G5" s="92"/>
      <c r="H5" s="163"/>
      <c r="I5" s="163"/>
      <c r="J5" s="164"/>
      <c r="K5" s="158"/>
      <c r="L5" s="76"/>
      <c r="M5" s="76"/>
      <c r="N5" s="76"/>
      <c r="O5" s="76"/>
      <c r="P5" s="76"/>
    </row>
    <row r="6" spans="1:16" ht="36" customHeight="1">
      <c r="A6" s="166"/>
      <c r="B6" s="167"/>
      <c r="C6" s="167"/>
      <c r="D6" s="167"/>
      <c r="E6" s="167"/>
      <c r="F6" s="167"/>
      <c r="G6" s="168"/>
      <c r="H6" s="62" t="s">
        <v>7</v>
      </c>
      <c r="I6" s="56" t="s">
        <v>98</v>
      </c>
      <c r="J6" s="56" t="s">
        <v>8</v>
      </c>
      <c r="K6" s="73"/>
      <c r="L6" s="74"/>
      <c r="M6" s="74"/>
      <c r="N6" s="79"/>
      <c r="O6" s="74"/>
      <c r="P6" s="74"/>
    </row>
    <row r="7" spans="1:16" ht="18" customHeight="1">
      <c r="A7" s="107" t="str">
        <f>"1. Proposed FEHB Rates Before Loadings for January 1, "&amp;year&amp;""</f>
        <v>1. Proposed FEHB Rates Before Loadings for January 1, 2020</v>
      </c>
      <c r="B7" s="100"/>
      <c r="C7" s="100"/>
      <c r="D7" s="100"/>
      <c r="E7" s="100"/>
      <c r="F7" s="100"/>
      <c r="G7" s="108"/>
      <c r="H7" s="169"/>
      <c r="I7" s="169"/>
      <c r="J7" s="169"/>
      <c r="K7" s="73"/>
      <c r="L7" s="74"/>
      <c r="M7" s="74"/>
      <c r="N7" s="75"/>
      <c r="O7" s="76"/>
      <c r="P7" s="75"/>
    </row>
    <row r="8" spans="1:16" ht="18" customHeight="1">
      <c r="A8" s="102" t="s">
        <v>15</v>
      </c>
      <c r="B8" s="103"/>
      <c r="C8" s="103"/>
      <c r="D8" s="103"/>
      <c r="E8" s="103"/>
      <c r="F8" s="103"/>
      <c r="G8" s="103"/>
      <c r="H8" s="103"/>
      <c r="I8" s="103"/>
      <c r="J8" s="106"/>
      <c r="K8" s="73"/>
      <c r="L8" s="74"/>
      <c r="M8" s="77"/>
      <c r="N8" s="78"/>
      <c r="O8" s="78"/>
      <c r="P8" s="78"/>
    </row>
    <row r="9" spans="1:16" ht="35.25" customHeight="1">
      <c r="A9" s="58" t="s">
        <v>16</v>
      </c>
      <c r="B9" s="170"/>
      <c r="C9" s="171"/>
      <c r="D9" s="171"/>
      <c r="E9" s="171"/>
      <c r="F9" s="171"/>
      <c r="G9" s="172"/>
      <c r="H9" s="117"/>
      <c r="I9" s="169"/>
      <c r="J9" s="169"/>
      <c r="K9" s="73"/>
      <c r="L9" s="74"/>
      <c r="M9" s="77"/>
      <c r="N9" s="78"/>
      <c r="O9" s="78"/>
      <c r="P9" s="78"/>
    </row>
    <row r="10" spans="1:16" ht="37.5" customHeight="1">
      <c r="A10" s="59" t="s">
        <v>17</v>
      </c>
      <c r="B10" s="173"/>
      <c r="C10" s="157"/>
      <c r="D10" s="157"/>
      <c r="E10" s="157"/>
      <c r="F10" s="157"/>
      <c r="G10" s="174"/>
      <c r="H10" s="169"/>
      <c r="I10" s="169"/>
      <c r="J10" s="169"/>
      <c r="K10" s="73"/>
      <c r="L10" s="74"/>
      <c r="M10" s="80"/>
      <c r="N10" s="75"/>
      <c r="O10" s="75"/>
      <c r="P10" s="75"/>
    </row>
    <row r="11" spans="1:16" ht="38.25" customHeight="1">
      <c r="A11" s="102" t="s">
        <v>18</v>
      </c>
      <c r="B11" s="103"/>
      <c r="C11" s="103"/>
      <c r="D11" s="103"/>
      <c r="E11" s="103"/>
      <c r="F11" s="103"/>
      <c r="G11" s="106"/>
      <c r="H11" s="169">
        <f>ROUND(SUM(H7,H9:H10),2)</f>
        <v>0</v>
      </c>
      <c r="I11" s="169">
        <f>ROUND(SUM(I7,I9:I10),2)</f>
        <v>0</v>
      </c>
      <c r="J11" s="169">
        <f>ROUND(SUM(J7,J9:J10),2)</f>
        <v>0</v>
      </c>
      <c r="K11" s="73"/>
      <c r="L11" s="76"/>
      <c r="M11" s="77"/>
      <c r="N11" s="78"/>
      <c r="O11" s="78"/>
      <c r="P11" s="78"/>
    </row>
    <row r="12" spans="1:16" ht="15">
      <c r="A12" s="146" t="s">
        <v>19</v>
      </c>
      <c r="B12" s="146"/>
      <c r="C12" s="101"/>
      <c r="D12" s="101"/>
      <c r="E12" s="101"/>
      <c r="F12" s="101"/>
      <c r="G12" s="101"/>
      <c r="H12" s="101"/>
      <c r="I12" s="101"/>
      <c r="J12" s="147"/>
      <c r="K12" s="73"/>
      <c r="L12" s="80"/>
      <c r="M12" s="77"/>
      <c r="N12" s="78"/>
      <c r="O12" s="78"/>
      <c r="P12" s="78"/>
    </row>
    <row r="13" spans="1:16" ht="37.5" customHeight="1">
      <c r="A13" s="176" t="s">
        <v>20</v>
      </c>
      <c r="B13" s="101"/>
      <c r="C13" s="101"/>
      <c r="D13" s="101"/>
      <c r="E13" s="101"/>
      <c r="F13" s="101"/>
      <c r="G13" s="147"/>
      <c r="H13" s="125"/>
      <c r="I13" s="125"/>
      <c r="J13" s="125"/>
      <c r="K13" s="73"/>
      <c r="L13" s="80"/>
      <c r="M13" s="80"/>
      <c r="N13" s="80"/>
      <c r="O13" s="76"/>
      <c r="P13" s="80"/>
    </row>
    <row r="14" spans="1:16" ht="36" customHeight="1">
      <c r="A14" s="175" t="s">
        <v>21</v>
      </c>
      <c r="B14" s="100"/>
      <c r="C14" s="100"/>
      <c r="D14" s="100"/>
      <c r="E14" s="100"/>
      <c r="F14" s="100"/>
      <c r="G14" s="108"/>
      <c r="H14" s="126"/>
      <c r="I14" s="126"/>
      <c r="J14" s="126"/>
      <c r="K14" s="73"/>
      <c r="L14" s="80"/>
      <c r="M14" s="80"/>
      <c r="N14" s="75"/>
      <c r="O14" s="76"/>
      <c r="P14" s="75"/>
    </row>
    <row r="15" spans="1:16" ht="36.75" customHeight="1">
      <c r="A15" s="102" t="s">
        <v>22</v>
      </c>
      <c r="B15" s="103"/>
      <c r="C15" s="103"/>
      <c r="D15" s="103"/>
      <c r="E15" s="103"/>
      <c r="F15" s="103"/>
      <c r="G15" s="106"/>
      <c r="H15" s="117">
        <f>ROUND(H11+H13+H14,2)</f>
        <v>0</v>
      </c>
      <c r="I15" s="169">
        <f>ROUND(I11+I13+I14,2)</f>
        <v>0</v>
      </c>
      <c r="J15" s="169">
        <f>ROUND(J11+J13+J14,2)</f>
        <v>0</v>
      </c>
      <c r="K15" s="73"/>
      <c r="L15" s="80"/>
      <c r="M15" s="77"/>
      <c r="N15" s="78"/>
      <c r="O15" s="78"/>
      <c r="P15" s="78"/>
    </row>
    <row r="16" spans="1:16" ht="36" customHeight="1">
      <c r="A16" s="102" t="s">
        <v>23</v>
      </c>
      <c r="B16" s="103"/>
      <c r="C16" s="103"/>
      <c r="D16" s="103"/>
      <c r="E16" s="103"/>
      <c r="F16" s="103"/>
      <c r="G16" s="106"/>
      <c r="H16" s="177"/>
      <c r="I16" s="177"/>
      <c r="J16" s="178"/>
      <c r="K16" s="73"/>
      <c r="L16" s="80"/>
      <c r="M16" s="77"/>
      <c r="N16" s="78"/>
      <c r="O16" s="78"/>
      <c r="P16" s="78"/>
    </row>
    <row r="17" spans="1:16" ht="36.75" customHeight="1">
      <c r="A17" s="102" t="s">
        <v>24</v>
      </c>
      <c r="B17" s="103"/>
      <c r="C17" s="103"/>
      <c r="D17" s="103"/>
      <c r="E17" s="103"/>
      <c r="F17" s="103"/>
      <c r="G17" s="106"/>
      <c r="H17" s="120">
        <f>ROUND(H15*$H$16,2)</f>
        <v>0</v>
      </c>
      <c r="I17" s="125">
        <f>ROUND(I15*$H$16,2)</f>
        <v>0</v>
      </c>
      <c r="J17" s="125">
        <f>ROUND(J15*$H$16,2)</f>
        <v>0</v>
      </c>
      <c r="K17" s="73"/>
      <c r="L17" s="80"/>
      <c r="M17" s="80"/>
      <c r="N17" s="75"/>
      <c r="O17" s="75"/>
      <c r="P17" s="75"/>
    </row>
    <row r="18" spans="1:16" ht="39" customHeight="1">
      <c r="A18" s="102" t="str">
        <f>"5a. Proposed "&amp;year&amp;" FEHB Rates Before Discount [(4c) + (4e)]"</f>
        <v>5a. Proposed 2020 FEHB Rates Before Discount [(4c) + (4e)]</v>
      </c>
      <c r="B18" s="103"/>
      <c r="C18" s="103"/>
      <c r="D18" s="103"/>
      <c r="E18" s="103"/>
      <c r="F18" s="103"/>
      <c r="G18" s="106"/>
      <c r="H18" s="117">
        <f>ROUND(H17+H15,2)</f>
        <v>0</v>
      </c>
      <c r="I18" s="169">
        <f>ROUND(I17+I15,2)</f>
        <v>0</v>
      </c>
      <c r="J18" s="169">
        <f>ROUND(J17+J15,2)</f>
        <v>0</v>
      </c>
      <c r="K18" s="73"/>
      <c r="L18" s="80"/>
      <c r="M18" s="77"/>
      <c r="N18" s="78"/>
      <c r="O18" s="78"/>
      <c r="P18" s="78"/>
    </row>
    <row r="19" spans="1:16" ht="15">
      <c r="A19" s="146" t="s">
        <v>25</v>
      </c>
      <c r="B19" s="101"/>
      <c r="C19" s="101"/>
      <c r="D19" s="101"/>
      <c r="E19" s="101"/>
      <c r="F19" s="101"/>
      <c r="G19" s="101"/>
      <c r="H19" s="101"/>
      <c r="I19" s="101"/>
      <c r="J19" s="147"/>
      <c r="K19" s="73"/>
      <c r="L19" s="80"/>
      <c r="M19" s="77"/>
      <c r="N19" s="78"/>
      <c r="O19" s="78"/>
      <c r="P19" s="78"/>
    </row>
    <row r="20" spans="1:16" ht="36" customHeight="1">
      <c r="A20" s="175" t="s">
        <v>26</v>
      </c>
      <c r="B20" s="100"/>
      <c r="C20" s="100"/>
      <c r="D20" s="100"/>
      <c r="E20" s="100"/>
      <c r="F20" s="100"/>
      <c r="G20" s="108"/>
      <c r="H20" s="125"/>
      <c r="I20" s="125"/>
      <c r="J20" s="125"/>
      <c r="K20" s="73"/>
      <c r="L20" s="80"/>
      <c r="M20" s="80"/>
      <c r="N20" s="80"/>
      <c r="O20" s="74"/>
      <c r="P20" s="80"/>
    </row>
    <row r="21" spans="1:16" ht="35.25" customHeight="1">
      <c r="A21" s="179" t="s">
        <v>27</v>
      </c>
      <c r="B21" s="103"/>
      <c r="C21" s="103"/>
      <c r="D21" s="103"/>
      <c r="E21" s="103"/>
      <c r="F21" s="103"/>
      <c r="G21" s="106"/>
      <c r="H21" s="126"/>
      <c r="I21" s="126"/>
      <c r="J21" s="126"/>
      <c r="K21" s="73"/>
      <c r="L21" s="80"/>
      <c r="M21" s="80"/>
      <c r="N21" s="75"/>
      <c r="O21" s="76"/>
      <c r="P21" s="75"/>
    </row>
    <row r="22" spans="1:16" ht="37.5" customHeight="1">
      <c r="A22" s="146" t="str">
        <f>"5c. Final Proposed "&amp;year&amp;" FEHB Rates [(5a) - (5bi) - (5bii)]"</f>
        <v>5c. Final Proposed 2020 FEHB Rates [(5a) - (5bi) - (5bii)]</v>
      </c>
      <c r="B22" s="101"/>
      <c r="C22" s="101"/>
      <c r="D22" s="101"/>
      <c r="E22" s="101"/>
      <c r="F22" s="101"/>
      <c r="G22" s="147"/>
      <c r="H22" s="127">
        <f>ROUND(H18-H20-H21,2)</f>
        <v>0</v>
      </c>
      <c r="I22" s="126">
        <f>ROUND(I18-I20-I21,2)</f>
        <v>0</v>
      </c>
      <c r="J22" s="126">
        <f>ROUND(J18-J20-J21,2)</f>
        <v>0</v>
      </c>
      <c r="K22" s="73"/>
      <c r="L22" s="80"/>
      <c r="M22" s="77"/>
      <c r="N22" s="81"/>
      <c r="O22" s="81"/>
      <c r="P22" s="81"/>
    </row>
    <row r="23" spans="1:16" ht="15.75" customHeight="1">
      <c r="A23" s="107" t="s">
        <v>113</v>
      </c>
      <c r="B23" s="100"/>
      <c r="C23" s="100"/>
      <c r="D23" s="100"/>
      <c r="E23" s="100"/>
      <c r="F23" s="100"/>
      <c r="G23" s="100"/>
      <c r="H23" s="103"/>
      <c r="I23" s="103"/>
      <c r="J23" s="106"/>
      <c r="K23" s="73"/>
      <c r="L23" s="80"/>
      <c r="M23" s="77"/>
      <c r="N23" s="81"/>
      <c r="O23" s="81"/>
      <c r="P23" s="81"/>
    </row>
    <row r="24" spans="1:16" ht="30" customHeight="1">
      <c r="A24" s="183" t="s">
        <v>100</v>
      </c>
      <c r="B24" s="103"/>
      <c r="C24" s="103"/>
      <c r="D24" s="103"/>
      <c r="E24" s="103"/>
      <c r="F24" s="103"/>
      <c r="G24" s="106"/>
      <c r="H24" s="180"/>
      <c r="I24" s="181"/>
      <c r="J24" s="182"/>
      <c r="K24" s="73"/>
      <c r="L24" s="80"/>
      <c r="M24" s="74"/>
      <c r="N24" s="80"/>
      <c r="O24" s="80"/>
      <c r="P24" s="80"/>
    </row>
    <row r="25" spans="1:16" ht="29.25" customHeight="1">
      <c r="A25" s="102" t="s">
        <v>12</v>
      </c>
      <c r="B25" s="103"/>
      <c r="C25" s="103"/>
      <c r="D25" s="103"/>
      <c r="E25" s="103"/>
      <c r="F25" s="103"/>
      <c r="G25" s="106"/>
      <c r="H25" s="126"/>
      <c r="I25" s="126"/>
      <c r="J25" s="126"/>
      <c r="K25" s="73"/>
      <c r="L25" s="80"/>
      <c r="M25" s="74"/>
      <c r="N25" s="80"/>
      <c r="O25" s="80"/>
      <c r="P25" s="80"/>
    </row>
    <row r="26" spans="1:16" ht="30" customHeight="1">
      <c r="A26" s="146" t="str">
        <f>""&amp;year1&amp;" FEHBP Rates"</f>
        <v>2020 FEHBP Rates</v>
      </c>
      <c r="B26" s="146"/>
      <c r="C26" s="101"/>
      <c r="D26" s="101"/>
      <c r="E26" s="101"/>
      <c r="F26" s="101"/>
      <c r="G26" s="147"/>
      <c r="H26" s="127">
        <f>ROUND(H22-H25,2)</f>
        <v>0</v>
      </c>
      <c r="I26" s="126">
        <f>ROUND(I22-I25,2)</f>
        <v>0</v>
      </c>
      <c r="J26" s="126">
        <f>ROUND(J22-J25,2)</f>
        <v>0</v>
      </c>
      <c r="K26" s="73"/>
      <c r="L26" s="82"/>
      <c r="M26" s="82"/>
      <c r="N26" s="82"/>
      <c r="O26" s="82"/>
      <c r="P26" s="82"/>
    </row>
    <row r="27" spans="11:16" ht="15">
      <c r="K27" s="139"/>
      <c r="L27" s="159"/>
      <c r="M27" s="159"/>
      <c r="N27" s="159"/>
      <c r="O27" s="159"/>
      <c r="P27" s="159"/>
    </row>
    <row r="28" spans="11:16" ht="15">
      <c r="K28" s="139"/>
      <c r="L28" s="159"/>
      <c r="M28" s="159"/>
      <c r="N28" s="159"/>
      <c r="O28" s="159"/>
      <c r="P28" s="159"/>
    </row>
    <row r="29" spans="11:16" ht="15">
      <c r="K29" s="139"/>
      <c r="L29" s="159"/>
      <c r="M29" s="159"/>
      <c r="N29" s="159"/>
      <c r="O29" s="159"/>
      <c r="P29" s="159"/>
    </row>
    <row r="30" spans="11:16" ht="15">
      <c r="K30" s="139"/>
      <c r="L30" s="159"/>
      <c r="M30" s="159"/>
      <c r="N30" s="159"/>
      <c r="O30" s="159"/>
      <c r="P30" s="159"/>
    </row>
  </sheetData>
  <protectedRanges>
    <protectedRange sqref="L8:L9" name="Range5_1_1"/>
  </protectedRanges>
  <printOptions/>
  <pageMargins left="0.7" right="0.7" top="0.75" bottom="0.75" header="0.3" footer="0.3"/>
  <pageSetup fitToHeight="0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2154-CC98-4C4C-B818-E2880729DE0F}">
  <dimension ref="A1:E49"/>
  <sheetViews>
    <sheetView workbookViewId="0" topLeftCell="A1">
      <selection activeCell="D6" sqref="D6"/>
    </sheetView>
  </sheetViews>
  <sheetFormatPr defaultColWidth="9.140625" defaultRowHeight="15"/>
  <cols>
    <col min="1" max="1" width="9.140625" style="0" customWidth="1"/>
    <col min="2" max="2" width="44.00390625" style="0" customWidth="1"/>
    <col min="3" max="3" width="13.57421875" style="0" customWidth="1"/>
    <col min="4" max="4" width="14.28125" style="0" customWidth="1"/>
    <col min="5" max="5" width="13.57421875" style="0" customWidth="1"/>
  </cols>
  <sheetData>
    <row r="1" ht="28.5">
      <c r="A1" s="184" t="s">
        <v>120</v>
      </c>
    </row>
    <row r="2" spans="1:5" ht="15.75" thickBot="1">
      <c r="A2" s="9"/>
      <c r="B2" s="9"/>
      <c r="C2" s="9"/>
      <c r="D2" s="9"/>
      <c r="E2" s="9"/>
    </row>
    <row r="3" spans="1:5" ht="15.75" thickBot="1">
      <c r="A3" s="9"/>
      <c r="B3" s="191" t="s">
        <v>122</v>
      </c>
      <c r="C3" s="189" t="s">
        <v>106</v>
      </c>
      <c r="D3" s="189" t="s">
        <v>107</v>
      </c>
      <c r="E3" s="190" t="s">
        <v>108</v>
      </c>
    </row>
    <row r="4" spans="1:5" ht="15">
      <c r="A4" s="9"/>
      <c r="B4" s="14" t="str">
        <f>year-1&amp;" Maximum Government Contribution"</f>
        <v>2019 Maximum Government Contribution</v>
      </c>
      <c r="C4" s="30">
        <v>230.18</v>
      </c>
      <c r="D4" s="31">
        <v>492.27</v>
      </c>
      <c r="E4" s="187">
        <v>525.32</v>
      </c>
    </row>
    <row r="5" spans="1:5" ht="15">
      <c r="A5" s="9"/>
      <c r="B5" s="45" t="str">
        <f>year-1&amp;" Net-to-Carrier Rates"</f>
        <v>2019 Net-to-Carrier Rates</v>
      </c>
      <c r="C5" s="15"/>
      <c r="D5" s="16"/>
      <c r="E5" s="156"/>
    </row>
    <row r="6" spans="1:5" ht="15">
      <c r="A6" s="9"/>
      <c r="B6" s="45" t="str">
        <f>year-1&amp;" Gross Premium (Net-to-Carrier Rates * 1.04)"</f>
        <v>2019 Gross Premium (Net-to-Carrier Rates * 1.04)</v>
      </c>
      <c r="C6" s="11">
        <f>ROUND(C5*1.04,2)</f>
        <v>0</v>
      </c>
      <c r="D6" s="12">
        <f>ROUND(D5*1.04,2)</f>
        <v>0</v>
      </c>
      <c r="E6" s="188">
        <f>ROUND(E5*1.04,2)</f>
        <v>0</v>
      </c>
    </row>
    <row r="7" spans="1:5" ht="15">
      <c r="A7" s="9"/>
      <c r="B7" s="14" t="str">
        <f>year-1&amp;" Government Contribution"</f>
        <v>2019 Government Contribution</v>
      </c>
      <c r="C7" s="11" t="str">
        <f>IF(C6&gt;0,MIN(C4,ROUND(C6*0.75,2)),"New Option")</f>
        <v>New Option</v>
      </c>
      <c r="D7" s="12" t="str">
        <f>IF(D6&gt;0,MIN(D4,ROUND(D6*0.75,2)),"New Option")</f>
        <v>New Option</v>
      </c>
      <c r="E7" s="188" t="str">
        <f>IF(E6&gt;0,MIN(E4,ROUND(E6*0.75,2)),"New Option")</f>
        <v>New Option</v>
      </c>
    </row>
    <row r="8" spans="1:5" ht="15">
      <c r="A8" s="9"/>
      <c r="B8" s="14" t="str">
        <f>year-1&amp;" Enrollee Contribuition"</f>
        <v>2019 Enrollee Contribuition</v>
      </c>
      <c r="C8" s="11" t="str">
        <f>IF(C6&gt;0,C6-C7,"New Option")</f>
        <v>New Option</v>
      </c>
      <c r="D8" s="12" t="str">
        <f>IF(D6&gt;0,D6-D7,"New Option")</f>
        <v>New Option</v>
      </c>
      <c r="E8" s="188" t="str">
        <f>IF(E6&gt;0,E6-E7,"New Option")</f>
        <v>New Option</v>
      </c>
    </row>
    <row r="9" spans="1:5" ht="15">
      <c r="A9" s="21"/>
      <c r="B9" s="21"/>
      <c r="C9" s="21"/>
      <c r="D9" s="21"/>
      <c r="E9" s="21"/>
    </row>
    <row r="10" spans="1:5" ht="15.75" thickBot="1">
      <c r="A10" s="9"/>
      <c r="B10" s="9"/>
      <c r="C10" s="22" t="s">
        <v>109</v>
      </c>
      <c r="D10" s="9"/>
      <c r="E10" s="9"/>
    </row>
    <row r="11" spans="1:5" ht="15">
      <c r="A11" s="9"/>
      <c r="B11" s="9"/>
      <c r="C11" s="23" t="str">
        <f>year&amp;" Maximum Government Contribution *"</f>
        <v>2020 Maximum Government Contribution *</v>
      </c>
      <c r="D11" s="24"/>
      <c r="E11" s="25"/>
    </row>
    <row r="12" spans="1:5" ht="15.75" thickBot="1">
      <c r="A12" s="9"/>
      <c r="B12" s="9"/>
      <c r="C12" s="26" t="s">
        <v>106</v>
      </c>
      <c r="D12" s="27" t="s">
        <v>107</v>
      </c>
      <c r="E12" s="28" t="s">
        <v>108</v>
      </c>
    </row>
    <row r="13" spans="1:5" ht="15">
      <c r="A13" s="29">
        <v>0</v>
      </c>
      <c r="B13" s="10" t="str">
        <f>$K$13*100&amp;"% increase to "&amp;$L$7</f>
        <v xml:space="preserve">0% increase to </v>
      </c>
      <c r="C13" s="11">
        <f>ROUND($M$4*(1+A13),2)</f>
        <v>0</v>
      </c>
      <c r="D13" s="12">
        <f>ROUND($N$4*(1+A13),2)</f>
        <v>0</v>
      </c>
      <c r="E13" s="13">
        <f>ROUND($O$4*(1+A13),2)</f>
        <v>0</v>
      </c>
    </row>
    <row r="14" spans="1:5" ht="15">
      <c r="A14" s="32">
        <v>0.03</v>
      </c>
      <c r="B14" s="14" t="str">
        <f>$K$14*100&amp;"% increase to "&amp;$L$7</f>
        <v xml:space="preserve">0% increase to </v>
      </c>
      <c r="C14" s="48">
        <f>ROUND($M$4*(1+A14),2)</f>
        <v>0</v>
      </c>
      <c r="D14" s="49">
        <f>ROUND($N$4*(1+A14),2)</f>
        <v>0</v>
      </c>
      <c r="E14" s="50">
        <f>ROUND($O$4*(1+A14),2)</f>
        <v>0</v>
      </c>
    </row>
    <row r="15" spans="1:5" ht="15">
      <c r="A15" s="32">
        <v>0.06</v>
      </c>
      <c r="B15" s="14" t="str">
        <f>$K$15*100&amp;"% increase to "&amp;$L$7</f>
        <v xml:space="preserve">0% increase to </v>
      </c>
      <c r="C15" s="11">
        <f>ROUND($M$4*(1+A15),2)</f>
        <v>0</v>
      </c>
      <c r="D15" s="12">
        <f>ROUND($N$4*(1+A15),2)</f>
        <v>0</v>
      </c>
      <c r="E15" s="46">
        <f>ROUND($O$4*(1+A15),2)</f>
        <v>0</v>
      </c>
    </row>
    <row r="16" spans="1:5" ht="15.75" thickBot="1">
      <c r="A16" s="32">
        <v>0.09</v>
      </c>
      <c r="B16" s="17" t="str">
        <f>$K$16*100&amp;"% increase to "&amp;$L$7</f>
        <v xml:space="preserve">0% increase to </v>
      </c>
      <c r="C16" s="18">
        <f>ROUND($M$4*(1+A16),2)</f>
        <v>0</v>
      </c>
      <c r="D16" s="19">
        <f>ROUND($N$4*(1+A16),2)</f>
        <v>0</v>
      </c>
      <c r="E16" s="47">
        <f>ROUND($O$4*(1+A16),2)</f>
        <v>0</v>
      </c>
    </row>
    <row r="17" spans="1:5" ht="15.75" thickBot="1">
      <c r="A17" s="9"/>
      <c r="B17" s="9"/>
      <c r="C17" s="9"/>
      <c r="D17" s="9"/>
      <c r="E17" s="9"/>
    </row>
    <row r="18" spans="1:5" ht="15">
      <c r="A18" s="9"/>
      <c r="B18" s="33"/>
      <c r="C18" s="23" t="str">
        <f>year&amp;" Gross Premium"</f>
        <v>2020 Gross Premium</v>
      </c>
      <c r="D18" s="24"/>
      <c r="E18" s="25"/>
    </row>
    <row r="19" spans="1:5" ht="15.75" thickBot="1">
      <c r="A19" s="21"/>
      <c r="B19" s="33"/>
      <c r="C19" s="26" t="s">
        <v>106</v>
      </c>
      <c r="D19" s="27" t="s">
        <v>107</v>
      </c>
      <c r="E19" s="28" t="s">
        <v>108</v>
      </c>
    </row>
    <row r="20" spans="1:5" ht="15">
      <c r="A20" s="21"/>
      <c r="B20" s="10" t="str">
        <f>$K$13*100&amp;"% increase to "&amp;$L$7</f>
        <v xml:space="preserve">0% increase to </v>
      </c>
      <c r="C20" s="11">
        <f>ROUND($G$49*1.04,2)</f>
        <v>0</v>
      </c>
      <c r="D20" s="12">
        <f>ROUND($H$49*1.04,2)</f>
        <v>0</v>
      </c>
      <c r="E20" s="13">
        <f>ROUND($I$49*1.04,2)</f>
        <v>0</v>
      </c>
    </row>
    <row r="21" spans="1:5" ht="15">
      <c r="A21" s="33"/>
      <c r="B21" s="14" t="str">
        <f>$K$14*100&amp;"% increase to "&amp;$L$7</f>
        <v xml:space="preserve">0% increase to </v>
      </c>
      <c r="C21" s="48">
        <f>ROUND($G$49*1.04,2)</f>
        <v>0</v>
      </c>
      <c r="D21" s="49">
        <f>ROUND($H$49*1.04,2)</f>
        <v>0</v>
      </c>
      <c r="E21" s="50">
        <f>ROUND($I$49*1.04,2)</f>
        <v>0</v>
      </c>
    </row>
    <row r="22" spans="1:5" ht="15">
      <c r="A22" s="33"/>
      <c r="B22" s="14" t="str">
        <f>$K$15*100&amp;"% increase to "&amp;$L$7</f>
        <v xml:space="preserve">0% increase to </v>
      </c>
      <c r="C22" s="11">
        <f>ROUND($G$49*1.04,2)</f>
        <v>0</v>
      </c>
      <c r="D22" s="12">
        <f>ROUND($H$49*1.04,2)</f>
        <v>0</v>
      </c>
      <c r="E22" s="46">
        <f>ROUND($I$49*1.04,2)</f>
        <v>0</v>
      </c>
    </row>
    <row r="23" spans="1:5" ht="15.75" thickBot="1">
      <c r="A23" s="33"/>
      <c r="B23" s="17" t="str">
        <f>$K$16*100&amp;"% increase to "&amp;$L$7</f>
        <v xml:space="preserve">0% increase to </v>
      </c>
      <c r="C23" s="18">
        <f>ROUND($G$49*1.04,2)</f>
        <v>0</v>
      </c>
      <c r="D23" s="19">
        <f>ROUND($H$49*1.04,2)</f>
        <v>0</v>
      </c>
      <c r="E23" s="47">
        <f>ROUND($I$49*1.04,2)</f>
        <v>0</v>
      </c>
    </row>
    <row r="24" spans="1:5" ht="15.75" thickBot="1">
      <c r="A24" s="33"/>
      <c r="B24" s="33"/>
      <c r="C24" s="33"/>
      <c r="D24" s="21"/>
      <c r="E24" s="33"/>
    </row>
    <row r="25" spans="1:5" ht="15">
      <c r="A25" s="33"/>
      <c r="B25" s="33"/>
      <c r="C25" s="23" t="str">
        <f>year&amp;" Government Contribution"</f>
        <v>2020 Government Contribution</v>
      </c>
      <c r="D25" s="24"/>
      <c r="E25" s="25"/>
    </row>
    <row r="26" spans="1:5" ht="15.75" thickBot="1">
      <c r="A26" s="33"/>
      <c r="B26" s="33"/>
      <c r="C26" s="26" t="s">
        <v>106</v>
      </c>
      <c r="D26" s="27" t="s">
        <v>107</v>
      </c>
      <c r="E26" s="28" t="s">
        <v>108</v>
      </c>
    </row>
    <row r="27" spans="1:5" ht="15">
      <c r="A27" s="33"/>
      <c r="B27" s="10" t="str">
        <f>$K$13*100&amp;"% increase to "&amp;$L$7</f>
        <v xml:space="preserve">0% increase to </v>
      </c>
      <c r="C27" s="30">
        <f aca="true" t="shared" si="0" ref="C27:E30">MIN(C13,ROUND(C20*0.75,2))</f>
        <v>0</v>
      </c>
      <c r="D27" s="31">
        <f t="shared" si="0"/>
        <v>0</v>
      </c>
      <c r="E27" s="13">
        <f t="shared" si="0"/>
        <v>0</v>
      </c>
    </row>
    <row r="28" spans="1:5" ht="15">
      <c r="A28" s="33"/>
      <c r="B28" s="14" t="str">
        <f>$K$14*100&amp;"% increase to "&amp;$L$7</f>
        <v xml:space="preserve">0% increase to </v>
      </c>
      <c r="C28" s="11">
        <f t="shared" si="0"/>
        <v>0</v>
      </c>
      <c r="D28" s="12">
        <f t="shared" si="0"/>
        <v>0</v>
      </c>
      <c r="E28" s="13">
        <f t="shared" si="0"/>
        <v>0</v>
      </c>
    </row>
    <row r="29" spans="1:5" ht="15">
      <c r="A29" s="33"/>
      <c r="B29" s="14" t="str">
        <f>$K$15*100&amp;"% increase to "&amp;$L$7</f>
        <v xml:space="preserve">0% increase to </v>
      </c>
      <c r="C29" s="11">
        <f t="shared" si="0"/>
        <v>0</v>
      </c>
      <c r="D29" s="12">
        <f t="shared" si="0"/>
        <v>0</v>
      </c>
      <c r="E29" s="13">
        <f t="shared" si="0"/>
        <v>0</v>
      </c>
    </row>
    <row r="30" spans="1:5" ht="15.75" thickBot="1">
      <c r="A30" s="33"/>
      <c r="B30" s="17" t="str">
        <f>$K$16*100&amp;"% increase to "&amp;$L$7</f>
        <v xml:space="preserve">0% increase to </v>
      </c>
      <c r="C30" s="18">
        <f t="shared" si="0"/>
        <v>0</v>
      </c>
      <c r="D30" s="19">
        <f t="shared" si="0"/>
        <v>0</v>
      </c>
      <c r="E30" s="20">
        <f t="shared" si="0"/>
        <v>0</v>
      </c>
    </row>
    <row r="31" spans="1:5" ht="15.75" thickBot="1">
      <c r="A31" s="33"/>
      <c r="B31" s="33"/>
      <c r="C31" s="33"/>
      <c r="D31" s="9"/>
      <c r="E31" s="33"/>
    </row>
    <row r="32" spans="1:5" ht="15">
      <c r="A32" s="33"/>
      <c r="B32" s="33"/>
      <c r="C32" s="23" t="str">
        <f>year&amp;" Enrollee Contribution"</f>
        <v>2020 Enrollee Contribution</v>
      </c>
      <c r="D32" s="24"/>
      <c r="E32" s="25"/>
    </row>
    <row r="33" spans="1:5" ht="15.75" thickBot="1">
      <c r="A33" s="33"/>
      <c r="B33" s="33"/>
      <c r="C33" s="26" t="s">
        <v>106</v>
      </c>
      <c r="D33" s="27" t="s">
        <v>107</v>
      </c>
      <c r="E33" s="28" t="s">
        <v>108</v>
      </c>
    </row>
    <row r="34" spans="1:5" ht="15">
      <c r="A34" s="33"/>
      <c r="B34" s="10" t="str">
        <f>$K$13*100&amp;"% increase to "&amp;$L$7</f>
        <v xml:space="preserve">0% increase to </v>
      </c>
      <c r="C34" s="30">
        <f aca="true" t="shared" si="1" ref="C34:E37">C20-C27</f>
        <v>0</v>
      </c>
      <c r="D34" s="31">
        <f t="shared" si="1"/>
        <v>0</v>
      </c>
      <c r="E34" s="13">
        <f t="shared" si="1"/>
        <v>0</v>
      </c>
    </row>
    <row r="35" spans="1:5" ht="15">
      <c r="A35" s="33"/>
      <c r="B35" s="14" t="str">
        <f>$K$14*100&amp;"% increase to "&amp;$L$7</f>
        <v xml:space="preserve">0% increase to </v>
      </c>
      <c r="C35" s="11">
        <f t="shared" si="1"/>
        <v>0</v>
      </c>
      <c r="D35" s="12">
        <f t="shared" si="1"/>
        <v>0</v>
      </c>
      <c r="E35" s="13">
        <f t="shared" si="1"/>
        <v>0</v>
      </c>
    </row>
    <row r="36" spans="1:5" ht="15">
      <c r="A36" s="33"/>
      <c r="B36" s="14" t="str">
        <f>$K$15*100&amp;"% increase to "&amp;$L$7</f>
        <v xml:space="preserve">0% increase to </v>
      </c>
      <c r="C36" s="11">
        <f t="shared" si="1"/>
        <v>0</v>
      </c>
      <c r="D36" s="12">
        <f t="shared" si="1"/>
        <v>0</v>
      </c>
      <c r="E36" s="13">
        <f t="shared" si="1"/>
        <v>0</v>
      </c>
    </row>
    <row r="37" spans="1:5" ht="15.75" thickBot="1">
      <c r="A37" s="33"/>
      <c r="B37" s="17" t="str">
        <f>$K$16*100&amp;"% increase to "&amp;$L$7</f>
        <v xml:space="preserve">0% increase to </v>
      </c>
      <c r="C37" s="18">
        <f t="shared" si="1"/>
        <v>0</v>
      </c>
      <c r="D37" s="19">
        <f t="shared" si="1"/>
        <v>0</v>
      </c>
      <c r="E37" s="20">
        <f t="shared" si="1"/>
        <v>0</v>
      </c>
    </row>
    <row r="38" spans="1:5" ht="15.75" thickBot="1">
      <c r="A38" s="33"/>
      <c r="B38" s="33"/>
      <c r="C38" s="33"/>
      <c r="D38" s="9"/>
      <c r="E38" s="33"/>
    </row>
    <row r="39" spans="1:5" ht="15">
      <c r="A39" s="33"/>
      <c r="B39" s="33"/>
      <c r="C39" s="34" t="s">
        <v>110</v>
      </c>
      <c r="D39" s="35"/>
      <c r="E39" s="25"/>
    </row>
    <row r="40" spans="1:5" ht="15.75" thickBot="1">
      <c r="A40" s="33"/>
      <c r="B40" s="33"/>
      <c r="C40" s="26" t="s">
        <v>106</v>
      </c>
      <c r="D40" s="27" t="s">
        <v>107</v>
      </c>
      <c r="E40" s="28" t="s">
        <v>108</v>
      </c>
    </row>
    <row r="41" spans="1:5" ht="15">
      <c r="A41" s="33"/>
      <c r="B41" s="10" t="str">
        <f>$K$13*100&amp;"% increase to "&amp;$L$7</f>
        <v xml:space="preserve">0% increase to </v>
      </c>
      <c r="C41" s="36" t="str">
        <f aca="true" t="shared" si="2" ref="C41:E44">_xlfn.IFERROR(C34/C$8-1,"New Option")</f>
        <v>New Option</v>
      </c>
      <c r="D41" s="37" t="str">
        <f t="shared" si="2"/>
        <v>New Option</v>
      </c>
      <c r="E41" s="38" t="str">
        <f t="shared" si="2"/>
        <v>New Option</v>
      </c>
    </row>
    <row r="42" spans="1:5" ht="15">
      <c r="A42" s="33"/>
      <c r="B42" s="14" t="str">
        <f>$K$14*100&amp;"% increase to "&amp;$L$7</f>
        <v xml:space="preserve">0% increase to </v>
      </c>
      <c r="C42" s="39" t="str">
        <f t="shared" si="2"/>
        <v>New Option</v>
      </c>
      <c r="D42" s="40" t="str">
        <f t="shared" si="2"/>
        <v>New Option</v>
      </c>
      <c r="E42" s="38" t="str">
        <f t="shared" si="2"/>
        <v>New Option</v>
      </c>
    </row>
    <row r="43" spans="1:5" ht="15">
      <c r="A43" s="33"/>
      <c r="B43" s="14" t="str">
        <f>$K$15*100&amp;"% increase to "&amp;$L$7</f>
        <v xml:space="preserve">0% increase to </v>
      </c>
      <c r="C43" s="39" t="str">
        <f t="shared" si="2"/>
        <v>New Option</v>
      </c>
      <c r="D43" s="40" t="str">
        <f t="shared" si="2"/>
        <v>New Option</v>
      </c>
      <c r="E43" s="38" t="str">
        <f t="shared" si="2"/>
        <v>New Option</v>
      </c>
    </row>
    <row r="44" spans="1:5" ht="15.75" thickBot="1">
      <c r="A44" s="33"/>
      <c r="B44" s="17" t="str">
        <f>$K$16*100&amp;"% increase to "&amp;$L$7</f>
        <v xml:space="preserve">0% increase to </v>
      </c>
      <c r="C44" s="41" t="str">
        <f t="shared" si="2"/>
        <v>New Option</v>
      </c>
      <c r="D44" s="42" t="str">
        <f t="shared" si="2"/>
        <v>New Option</v>
      </c>
      <c r="E44" s="43" t="str">
        <f t="shared" si="2"/>
        <v>New Option</v>
      </c>
    </row>
    <row r="45" spans="1:5" ht="15">
      <c r="A45" s="33"/>
      <c r="B45" s="33"/>
      <c r="C45" s="33"/>
      <c r="D45" s="33"/>
      <c r="E45" s="33"/>
    </row>
    <row r="46" spans="1:5" ht="15">
      <c r="A46" s="33"/>
      <c r="B46" s="9" t="s">
        <v>111</v>
      </c>
      <c r="C46" s="33"/>
      <c r="D46" s="33"/>
      <c r="E46" s="33"/>
    </row>
    <row r="47" spans="1:5" ht="15">
      <c r="A47" s="33"/>
      <c r="B47" s="9" t="s">
        <v>121</v>
      </c>
      <c r="C47" s="33"/>
      <c r="D47" s="33"/>
      <c r="E47" s="33"/>
    </row>
    <row r="48" spans="1:5" ht="15">
      <c r="A48" s="33"/>
      <c r="B48" s="9" t="s">
        <v>112</v>
      </c>
      <c r="C48" s="33"/>
      <c r="D48" s="33"/>
      <c r="E48" s="33"/>
    </row>
    <row r="49" spans="1:5" ht="15">
      <c r="A49" s="44"/>
      <c r="B49" s="44"/>
      <c r="C49" s="44"/>
      <c r="D49" s="44"/>
      <c r="E49" s="44"/>
    </row>
  </sheetData>
  <protectedRanges>
    <protectedRange sqref="A13:A16" name="Range5_1_1"/>
  </protectedRange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showGridLines="0" workbookViewId="0" topLeftCell="A1">
      <selection activeCell="B4" sqref="B4"/>
    </sheetView>
  </sheetViews>
  <sheetFormatPr defaultColWidth="9.140625" defaultRowHeight="15"/>
  <cols>
    <col min="1" max="1" width="37.8515625" style="0" customWidth="1"/>
    <col min="2" max="2" width="30.421875" style="0" customWidth="1"/>
    <col min="3" max="7" width="9.421875" style="0" customWidth="1"/>
  </cols>
  <sheetData>
    <row r="1" spans="1:7" ht="36" customHeight="1">
      <c r="A1" s="192" t="s">
        <v>101</v>
      </c>
      <c r="B1" s="192"/>
      <c r="C1" s="205"/>
      <c r="D1" s="205"/>
      <c r="E1" s="205"/>
      <c r="F1" s="205"/>
      <c r="G1" s="205"/>
    </row>
    <row r="2" spans="1:7" s="2" customFormat="1" ht="15">
      <c r="A2" s="195" t="s">
        <v>123</v>
      </c>
      <c r="B2" s="197"/>
      <c r="C2" s="206"/>
      <c r="D2" s="206"/>
      <c r="E2" s="206"/>
      <c r="F2" s="206"/>
      <c r="G2" s="206"/>
    </row>
    <row r="3" spans="1:7" s="2" customFormat="1" ht="15">
      <c r="A3" s="198" t="s">
        <v>124</v>
      </c>
      <c r="B3" s="200"/>
      <c r="C3" s="206"/>
      <c r="D3" s="206"/>
      <c r="E3" s="206"/>
      <c r="F3" s="206"/>
      <c r="G3" s="206"/>
    </row>
    <row r="4" spans="1:7" ht="18" customHeight="1">
      <c r="A4" s="201" t="s">
        <v>28</v>
      </c>
      <c r="B4" s="211"/>
      <c r="C4" s="207"/>
      <c r="D4" s="207"/>
      <c r="E4" s="208"/>
      <c r="F4" s="208"/>
      <c r="G4" s="208"/>
    </row>
    <row r="5" spans="1:7" ht="18" customHeight="1">
      <c r="A5" s="201" t="s">
        <v>29</v>
      </c>
      <c r="B5" s="211"/>
      <c r="C5" s="207"/>
      <c r="D5" s="207"/>
      <c r="E5" s="209"/>
      <c r="F5" s="209"/>
      <c r="G5" s="209"/>
    </row>
    <row r="6" spans="1:7" ht="18" customHeight="1">
      <c r="A6" s="201" t="s">
        <v>91</v>
      </c>
      <c r="B6" s="211"/>
      <c r="C6" s="207"/>
      <c r="D6" s="207"/>
      <c r="E6" s="208"/>
      <c r="F6" s="208"/>
      <c r="G6" s="208"/>
    </row>
    <row r="7" spans="1:7" ht="18" customHeight="1">
      <c r="A7" s="201" t="s">
        <v>30</v>
      </c>
      <c r="B7" s="211"/>
      <c r="C7" s="207"/>
      <c r="D7" s="207"/>
      <c r="E7" s="210"/>
      <c r="F7" s="210"/>
      <c r="G7" s="210"/>
    </row>
    <row r="8" spans="1:7" ht="18" customHeight="1">
      <c r="A8" s="201" t="s">
        <v>31</v>
      </c>
      <c r="B8" s="211"/>
      <c r="C8" s="207"/>
      <c r="D8" s="207"/>
      <c r="E8" s="210"/>
      <c r="F8" s="210"/>
      <c r="G8" s="210"/>
    </row>
    <row r="9" spans="1:7" ht="18" customHeight="1">
      <c r="A9" s="201" t="s">
        <v>32</v>
      </c>
      <c r="B9" s="211"/>
      <c r="C9" s="207"/>
      <c r="D9" s="207"/>
      <c r="E9" s="210"/>
      <c r="F9" s="210"/>
      <c r="G9" s="210"/>
    </row>
    <row r="10" spans="1:7" ht="18" customHeight="1">
      <c r="A10" s="201" t="s">
        <v>33</v>
      </c>
      <c r="B10" s="211"/>
      <c r="C10" s="207"/>
      <c r="D10" s="207"/>
      <c r="E10" s="209"/>
      <c r="F10" s="209"/>
      <c r="G10" s="209"/>
    </row>
    <row r="11" spans="1:7" ht="18" customHeight="1">
      <c r="A11" s="201" t="s">
        <v>34</v>
      </c>
      <c r="B11" s="211"/>
      <c r="C11" s="207"/>
      <c r="D11" s="207"/>
      <c r="E11" s="209"/>
      <c r="F11" s="209"/>
      <c r="G11" s="209"/>
    </row>
    <row r="12" spans="1:7" ht="18" customHeight="1">
      <c r="A12" s="201" t="s">
        <v>35</v>
      </c>
      <c r="B12" s="211"/>
      <c r="C12" s="207"/>
      <c r="D12" s="207"/>
      <c r="E12" s="209"/>
      <c r="F12" s="209"/>
      <c r="G12" s="209"/>
    </row>
    <row r="13" spans="1:7" ht="18" customHeight="1">
      <c r="A13" s="201" t="s">
        <v>36</v>
      </c>
      <c r="B13" s="211"/>
      <c r="C13" s="207"/>
      <c r="D13" s="207"/>
      <c r="E13" s="209"/>
      <c r="F13" s="209"/>
      <c r="G13" s="209"/>
    </row>
    <row r="14" spans="1:7" ht="18" customHeight="1">
      <c r="A14" s="201" t="s">
        <v>37</v>
      </c>
      <c r="B14" s="211"/>
      <c r="C14" s="207"/>
      <c r="D14" s="207"/>
      <c r="E14" s="208"/>
      <c r="F14" s="208"/>
      <c r="G14" s="208"/>
    </row>
    <row r="15" spans="1:7" ht="18" customHeight="1">
      <c r="A15" s="201" t="s">
        <v>38</v>
      </c>
      <c r="B15" s="211"/>
      <c r="C15" s="207"/>
      <c r="D15" s="207"/>
      <c r="E15" s="208"/>
      <c r="F15" s="208"/>
      <c r="G15" s="208"/>
    </row>
    <row r="16" spans="1:7" ht="18" customHeight="1">
      <c r="A16" s="201" t="s">
        <v>39</v>
      </c>
      <c r="B16" s="211"/>
      <c r="C16" s="207"/>
      <c r="D16" s="207"/>
      <c r="E16" s="208"/>
      <c r="F16" s="208"/>
      <c r="G16" s="20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showGridLines="0" workbookViewId="0" topLeftCell="A1">
      <selection activeCell="B6" sqref="B6"/>
    </sheetView>
  </sheetViews>
  <sheetFormatPr defaultColWidth="9.140625" defaultRowHeight="15"/>
  <cols>
    <col min="1" max="1" width="40.00390625" style="0" customWidth="1"/>
    <col min="2" max="2" width="31.28125" style="0" customWidth="1"/>
    <col min="3" max="7" width="9.421875" style="0" customWidth="1"/>
  </cols>
  <sheetData>
    <row r="1" spans="1:7" ht="36.75" customHeight="1">
      <c r="A1" s="192" t="s">
        <v>102</v>
      </c>
      <c r="B1" s="192"/>
      <c r="C1" s="205"/>
      <c r="D1" s="205"/>
      <c r="E1" s="205"/>
      <c r="F1" s="205"/>
      <c r="G1" s="205"/>
    </row>
    <row r="2" spans="1:7" ht="15">
      <c r="A2" s="195" t="s">
        <v>125</v>
      </c>
      <c r="B2" s="193"/>
      <c r="C2" s="213"/>
      <c r="D2" s="213"/>
      <c r="E2" s="213"/>
      <c r="F2" s="213"/>
      <c r="G2" s="213"/>
    </row>
    <row r="3" spans="1:7" ht="15">
      <c r="A3" s="198" t="s">
        <v>124</v>
      </c>
      <c r="B3" s="194"/>
      <c r="C3" s="213"/>
      <c r="D3" s="213"/>
      <c r="E3" s="213"/>
      <c r="F3" s="213"/>
      <c r="G3" s="213"/>
    </row>
    <row r="4" spans="1:7" ht="18" customHeight="1">
      <c r="A4" s="212" t="s">
        <v>40</v>
      </c>
      <c r="B4" s="221"/>
      <c r="C4" s="214"/>
      <c r="D4" s="214"/>
      <c r="E4" s="215"/>
      <c r="F4" s="216"/>
      <c r="G4" s="216"/>
    </row>
    <row r="5" spans="1:7" ht="18" customHeight="1">
      <c r="A5" s="212" t="s">
        <v>41</v>
      </c>
      <c r="B5" s="221"/>
      <c r="C5" s="214"/>
      <c r="D5" s="214"/>
      <c r="E5" s="217"/>
      <c r="F5" s="217"/>
      <c r="G5" s="217"/>
    </row>
    <row r="6" spans="1:7" ht="18" customHeight="1">
      <c r="A6" s="212" t="s">
        <v>42</v>
      </c>
      <c r="B6" s="221"/>
      <c r="C6" s="214"/>
      <c r="D6" s="214"/>
      <c r="E6" s="217"/>
      <c r="F6" s="217"/>
      <c r="G6" s="217"/>
    </row>
    <row r="7" spans="1:7" ht="18" customHeight="1">
      <c r="A7" s="212" t="s">
        <v>43</v>
      </c>
      <c r="B7" s="221"/>
      <c r="C7" s="214"/>
      <c r="D7" s="214"/>
      <c r="E7" s="218"/>
      <c r="F7" s="218"/>
      <c r="G7" s="218"/>
    </row>
    <row r="8" spans="1:7" ht="18" customHeight="1">
      <c r="A8" s="212" t="s">
        <v>44</v>
      </c>
      <c r="B8" s="221"/>
      <c r="C8" s="214"/>
      <c r="D8" s="214"/>
      <c r="E8" s="218"/>
      <c r="F8" s="218"/>
      <c r="G8" s="218"/>
    </row>
    <row r="9" spans="1:7" ht="18" customHeight="1">
      <c r="A9" s="212" t="s">
        <v>45</v>
      </c>
      <c r="B9" s="221"/>
      <c r="C9" s="214"/>
      <c r="D9" s="214"/>
      <c r="E9" s="217"/>
      <c r="F9" s="217"/>
      <c r="G9" s="217"/>
    </row>
    <row r="10" spans="1:7" ht="18" customHeight="1">
      <c r="A10" s="212" t="s">
        <v>46</v>
      </c>
      <c r="B10" s="221"/>
      <c r="C10" s="214"/>
      <c r="D10" s="214"/>
      <c r="E10" s="217"/>
      <c r="F10" s="217"/>
      <c r="G10" s="217"/>
    </row>
    <row r="11" spans="1:7" ht="18" customHeight="1">
      <c r="A11" s="212" t="s">
        <v>47</v>
      </c>
      <c r="B11" s="221"/>
      <c r="C11" s="214"/>
      <c r="D11" s="214"/>
      <c r="E11" s="217"/>
      <c r="F11" s="217"/>
      <c r="G11" s="217"/>
    </row>
    <row r="12" spans="1:7" ht="18" customHeight="1">
      <c r="A12" s="212" t="s">
        <v>48</v>
      </c>
      <c r="B12" s="221"/>
      <c r="C12" s="214"/>
      <c r="D12" s="214"/>
      <c r="E12" s="219"/>
      <c r="F12" s="219"/>
      <c r="G12" s="219"/>
    </row>
    <row r="13" spans="1:7" ht="18" customHeight="1">
      <c r="A13" s="212" t="s">
        <v>49</v>
      </c>
      <c r="B13" s="221"/>
      <c r="C13" s="214"/>
      <c r="D13" s="214"/>
      <c r="E13" s="217"/>
      <c r="F13" s="217"/>
      <c r="G13" s="217"/>
    </row>
    <row r="14" spans="1:7" ht="18" customHeight="1">
      <c r="A14" s="212" t="s">
        <v>30</v>
      </c>
      <c r="B14" s="221"/>
      <c r="C14" s="214"/>
      <c r="D14" s="214"/>
      <c r="E14" s="218"/>
      <c r="F14" s="218"/>
      <c r="G14" s="218"/>
    </row>
    <row r="15" spans="1:7" ht="18" customHeight="1">
      <c r="A15" s="212" t="s">
        <v>31</v>
      </c>
      <c r="B15" s="221"/>
      <c r="C15" s="214"/>
      <c r="D15" s="214"/>
      <c r="E15" s="218"/>
      <c r="F15" s="218"/>
      <c r="G15" s="218"/>
    </row>
    <row r="16" spans="1:7" ht="18" customHeight="1">
      <c r="A16" s="212" t="s">
        <v>32</v>
      </c>
      <c r="B16" s="221"/>
      <c r="C16" s="214"/>
      <c r="D16" s="214"/>
      <c r="E16" s="218"/>
      <c r="F16" s="218"/>
      <c r="G16" s="218"/>
    </row>
    <row r="17" spans="1:7" ht="18" customHeight="1">
      <c r="A17" s="212" t="s">
        <v>33</v>
      </c>
      <c r="B17" s="221"/>
      <c r="C17" s="214"/>
      <c r="D17" s="214"/>
      <c r="E17" s="220"/>
      <c r="F17" s="220"/>
      <c r="G17" s="220"/>
    </row>
    <row r="18" spans="1:7" ht="18" customHeight="1">
      <c r="A18" s="212" t="s">
        <v>34</v>
      </c>
      <c r="B18" s="221"/>
      <c r="C18" s="214"/>
      <c r="D18" s="214"/>
      <c r="E18" s="220"/>
      <c r="F18" s="220"/>
      <c r="G18" s="220"/>
    </row>
    <row r="19" spans="1:7" ht="18" customHeight="1">
      <c r="A19" s="212" t="s">
        <v>35</v>
      </c>
      <c r="B19" s="221"/>
      <c r="C19" s="214"/>
      <c r="D19" s="214"/>
      <c r="E19" s="220"/>
      <c r="F19" s="220"/>
      <c r="G19" s="220"/>
    </row>
    <row r="20" spans="1:7" ht="18" customHeight="1">
      <c r="A20" s="212" t="s">
        <v>36</v>
      </c>
      <c r="B20" s="221"/>
      <c r="C20" s="214"/>
      <c r="D20" s="214"/>
      <c r="E20" s="220"/>
      <c r="F20" s="220"/>
      <c r="G20" s="220"/>
    </row>
    <row r="21" spans="1:7" ht="18" customHeight="1">
      <c r="A21" s="212" t="s">
        <v>37</v>
      </c>
      <c r="B21" s="221"/>
      <c r="C21" s="214"/>
      <c r="D21" s="214"/>
      <c r="E21" s="217"/>
      <c r="F21" s="217"/>
      <c r="G21" s="217"/>
    </row>
    <row r="22" spans="1:7" ht="18" customHeight="1">
      <c r="A22" s="212" t="s">
        <v>38</v>
      </c>
      <c r="B22" s="221"/>
      <c r="C22" s="214"/>
      <c r="D22" s="214"/>
      <c r="E22" s="217"/>
      <c r="F22" s="217"/>
      <c r="G22" s="217"/>
    </row>
    <row r="23" spans="1:7" ht="18" customHeight="1">
      <c r="A23" s="212" t="s">
        <v>39</v>
      </c>
      <c r="B23" s="221"/>
      <c r="C23" s="214"/>
      <c r="D23" s="214"/>
      <c r="E23" s="217"/>
      <c r="F23" s="217"/>
      <c r="G23" s="21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5"/>
  <sheetViews>
    <sheetView showGridLines="0" workbookViewId="0" topLeftCell="A1">
      <selection activeCell="A17" sqref="A17"/>
    </sheetView>
  </sheetViews>
  <sheetFormatPr defaultColWidth="9.140625" defaultRowHeight="15"/>
  <cols>
    <col min="1" max="1" width="36.28125" style="0" customWidth="1"/>
    <col min="2" max="2" width="19.28125" style="0" customWidth="1"/>
    <col min="3" max="3" width="19.421875" style="0" customWidth="1"/>
    <col min="4" max="5" width="20.421875" style="0" customWidth="1"/>
  </cols>
  <sheetData>
    <row r="1" spans="1:5" ht="39" customHeight="1">
      <c r="A1" s="202" t="s">
        <v>103</v>
      </c>
      <c r="B1" s="222"/>
      <c r="C1" s="222"/>
      <c r="D1" s="222"/>
      <c r="E1" s="222"/>
    </row>
    <row r="2" spans="1:5" ht="15">
      <c r="A2" s="223" t="s">
        <v>126</v>
      </c>
      <c r="B2" s="204"/>
      <c r="C2" s="204"/>
      <c r="D2" s="204"/>
      <c r="E2" s="204"/>
    </row>
    <row r="3" spans="1:5" ht="15">
      <c r="A3" s="198" t="s">
        <v>127</v>
      </c>
      <c r="B3" s="199"/>
      <c r="C3" s="199"/>
      <c r="D3" s="199"/>
      <c r="E3" s="199"/>
    </row>
    <row r="4" spans="1:5" ht="18" customHeight="1">
      <c r="A4" s="203" t="s">
        <v>50</v>
      </c>
      <c r="B4" s="201" t="s">
        <v>51</v>
      </c>
      <c r="C4" s="201" t="s">
        <v>52</v>
      </c>
      <c r="D4" s="201" t="s">
        <v>38</v>
      </c>
      <c r="E4" s="201" t="s">
        <v>39</v>
      </c>
    </row>
    <row r="5" spans="1:5" ht="46.5" customHeight="1">
      <c r="A5" s="64" t="s">
        <v>53</v>
      </c>
      <c r="B5" s="65" t="s">
        <v>54</v>
      </c>
      <c r="C5" s="66">
        <v>25.44</v>
      </c>
      <c r="D5" s="65" t="s">
        <v>55</v>
      </c>
      <c r="E5" s="65" t="s">
        <v>56</v>
      </c>
    </row>
    <row r="6" spans="1:5" ht="46.5" customHeight="1">
      <c r="A6" s="64" t="s">
        <v>57</v>
      </c>
      <c r="B6" s="67" t="s">
        <v>58</v>
      </c>
      <c r="C6" s="63">
        <v>2.43</v>
      </c>
      <c r="D6" s="63">
        <v>4.62</v>
      </c>
      <c r="E6" s="63">
        <v>5.59</v>
      </c>
    </row>
    <row r="7" spans="1:5" ht="30.75" customHeight="1">
      <c r="A7" s="226" t="s">
        <v>114</v>
      </c>
      <c r="B7" s="225"/>
      <c r="C7" s="225"/>
      <c r="D7" s="225"/>
      <c r="E7" s="225"/>
    </row>
    <row r="8" spans="1:5" ht="30" customHeight="1">
      <c r="A8" s="226" t="s">
        <v>17</v>
      </c>
      <c r="B8" s="225"/>
      <c r="C8" s="225"/>
      <c r="D8" s="225"/>
      <c r="E8" s="225"/>
    </row>
    <row r="9" spans="1:5" ht="29.25" customHeight="1">
      <c r="A9" s="226" t="s">
        <v>59</v>
      </c>
      <c r="B9" s="225"/>
      <c r="C9" s="225"/>
      <c r="D9" s="225"/>
      <c r="E9" s="225"/>
    </row>
    <row r="10" spans="1:5" ht="30" customHeight="1">
      <c r="A10" s="226" t="s">
        <v>60</v>
      </c>
      <c r="B10" s="225"/>
      <c r="C10" s="225"/>
      <c r="D10" s="225"/>
      <c r="E10" s="225"/>
    </row>
    <row r="11" spans="1:5" ht="30" customHeight="1">
      <c r="A11" s="226" t="s">
        <v>61</v>
      </c>
      <c r="B11" s="225"/>
      <c r="C11" s="225"/>
      <c r="D11" s="225"/>
      <c r="E11" s="225"/>
    </row>
    <row r="12" spans="1:5" ht="30.75" customHeight="1">
      <c r="A12" s="226" t="s">
        <v>62</v>
      </c>
      <c r="B12" s="225"/>
      <c r="C12" s="225"/>
      <c r="D12" s="225"/>
      <c r="E12" s="225"/>
    </row>
    <row r="13" spans="1:5" ht="30.75" customHeight="1">
      <c r="A13" s="226" t="s">
        <v>63</v>
      </c>
      <c r="B13" s="225"/>
      <c r="C13" s="225"/>
      <c r="D13" s="225"/>
      <c r="E13" s="225"/>
    </row>
    <row r="14" spans="1:5" ht="32.25" customHeight="1">
      <c r="A14" s="227" t="s">
        <v>64</v>
      </c>
      <c r="B14" s="225"/>
      <c r="C14" s="225"/>
      <c r="D14" s="225"/>
      <c r="E14" s="225"/>
    </row>
    <row r="15" ht="29.25" customHeight="1">
      <c r="A15" t="s">
        <v>92</v>
      </c>
    </row>
  </sheetData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showGridLines="0" workbookViewId="0" topLeftCell="A1">
      <selection activeCell="E9" sqref="E9"/>
    </sheetView>
  </sheetViews>
  <sheetFormatPr defaultColWidth="9.140625" defaultRowHeight="15"/>
  <cols>
    <col min="1" max="1" width="27.421875" style="0" customWidth="1"/>
    <col min="2" max="5" width="14.28125" style="0" customWidth="1"/>
    <col min="6" max="6" width="17.140625" style="0" customWidth="1"/>
    <col min="8" max="8" width="10.7109375" style="0" customWidth="1"/>
  </cols>
  <sheetData>
    <row r="1" spans="1:6" ht="21">
      <c r="A1" s="228" t="s">
        <v>104</v>
      </c>
      <c r="B1" s="229"/>
      <c r="C1" s="229"/>
      <c r="D1" s="229"/>
      <c r="E1" s="229"/>
      <c r="F1" s="230"/>
    </row>
    <row r="2" spans="1:6" ht="18" customHeight="1">
      <c r="A2" s="198" t="s">
        <v>93</v>
      </c>
      <c r="B2" s="199"/>
      <c r="C2" s="199"/>
      <c r="D2" s="199"/>
      <c r="E2" s="199"/>
      <c r="F2" s="200"/>
    </row>
    <row r="3" spans="1:6" ht="54.75" customHeight="1">
      <c r="A3" s="231" t="s">
        <v>65</v>
      </c>
      <c r="B3" s="71" t="s">
        <v>128</v>
      </c>
      <c r="C3" s="71" t="s">
        <v>129</v>
      </c>
      <c r="D3" s="71" t="s">
        <v>130</v>
      </c>
      <c r="E3" s="71" t="s">
        <v>131</v>
      </c>
      <c r="F3" s="232" t="s">
        <v>132</v>
      </c>
    </row>
    <row r="4" spans="1:6" ht="18" customHeight="1">
      <c r="A4" s="69" t="s">
        <v>66</v>
      </c>
      <c r="B4" s="7"/>
      <c r="C4" s="8"/>
      <c r="D4" s="8"/>
      <c r="E4" s="8"/>
      <c r="F4" s="51">
        <f>ROUND(B4*(C4-D4-E4),2)</f>
        <v>0</v>
      </c>
    </row>
    <row r="5" spans="1:6" ht="18" customHeight="1">
      <c r="A5" s="69" t="s">
        <v>67</v>
      </c>
      <c r="B5" s="7"/>
      <c r="C5" s="8"/>
      <c r="D5" s="8"/>
      <c r="E5" s="8"/>
      <c r="F5" s="51">
        <f>ROUND(B5*(C5-D5-E5),2)</f>
        <v>0</v>
      </c>
    </row>
    <row r="6" spans="1:6" ht="18" customHeight="1">
      <c r="A6" s="69" t="s">
        <v>68</v>
      </c>
      <c r="B6" s="7"/>
      <c r="C6" s="8"/>
      <c r="D6" s="8"/>
      <c r="E6" s="8"/>
      <c r="F6" s="51">
        <f>ROUND(B6*(C6-D6-E6),2)</f>
        <v>0</v>
      </c>
    </row>
    <row r="7" spans="1:6" ht="18" customHeight="1">
      <c r="A7" s="69" t="s">
        <v>69</v>
      </c>
      <c r="B7" s="7"/>
      <c r="C7" s="8"/>
      <c r="D7" s="8"/>
      <c r="E7" s="237"/>
      <c r="F7" s="51">
        <f>ROUND(B7*(C7-D7-E7),2)</f>
        <v>0</v>
      </c>
    </row>
    <row r="8" spans="1:6" ht="18" customHeight="1">
      <c r="A8" s="69" t="s">
        <v>70</v>
      </c>
      <c r="B8" s="7">
        <f>SUM(B4:B7)</f>
        <v>0</v>
      </c>
      <c r="C8" s="240"/>
      <c r="D8" s="241"/>
      <c r="E8" s="242" t="s">
        <v>71</v>
      </c>
      <c r="F8" s="250">
        <f>ROUND(SUM(F4:F7),2)</f>
        <v>0</v>
      </c>
    </row>
    <row r="9" spans="1:6" ht="18" customHeight="1">
      <c r="A9" s="238" t="s">
        <v>72</v>
      </c>
      <c r="B9" s="249"/>
      <c r="C9" s="233"/>
      <c r="D9" s="234"/>
      <c r="E9" s="234"/>
      <c r="F9" s="235"/>
    </row>
    <row r="10" spans="1:6" ht="18" customHeight="1">
      <c r="A10" s="241"/>
      <c r="B10" s="241"/>
      <c r="C10" s="239"/>
      <c r="D10" s="239"/>
      <c r="E10" s="251" t="s">
        <v>73</v>
      </c>
      <c r="F10" s="252" t="e">
        <f>ROUND(F8/B9,2)</f>
        <v>#DIV/0!</v>
      </c>
    </row>
    <row r="11" spans="1:6" ht="18" customHeight="1">
      <c r="A11" s="241"/>
      <c r="B11" s="241"/>
      <c r="C11" s="241"/>
      <c r="D11" s="241"/>
      <c r="E11" s="242" t="s">
        <v>74</v>
      </c>
      <c r="F11" s="236"/>
    </row>
    <row r="12" spans="1:6" ht="18" customHeight="1">
      <c r="A12" s="241"/>
      <c r="B12" s="241"/>
      <c r="C12" s="241"/>
      <c r="D12" s="241"/>
      <c r="E12" s="70" t="s">
        <v>75</v>
      </c>
      <c r="F12" s="236"/>
    </row>
    <row r="13" spans="1:6" ht="18" customHeight="1">
      <c r="A13" s="234"/>
      <c r="B13" s="234"/>
      <c r="C13" s="234"/>
      <c r="D13" s="234"/>
      <c r="E13" s="70" t="s">
        <v>76</v>
      </c>
      <c r="F13" s="236"/>
    </row>
    <row r="14" s="243" customFormat="1" ht="28.5" customHeight="1">
      <c r="A14" s="243" t="s">
        <v>94</v>
      </c>
    </row>
    <row r="15" spans="1:6" ht="31.5" customHeight="1">
      <c r="A15" s="244" t="s">
        <v>95</v>
      </c>
      <c r="B15" s="245"/>
      <c r="C15" s="245"/>
      <c r="D15" s="245"/>
      <c r="E15" s="245"/>
      <c r="F15" s="246"/>
    </row>
    <row r="16" spans="1:6" ht="18" customHeight="1">
      <c r="A16" s="68"/>
      <c r="B16" s="1"/>
      <c r="C16" s="1"/>
      <c r="D16" s="1"/>
      <c r="E16" s="1"/>
      <c r="F16" s="5"/>
    </row>
    <row r="17" spans="1:6" ht="18" customHeight="1">
      <c r="A17" s="68"/>
      <c r="B17" s="1"/>
      <c r="C17" s="1"/>
      <c r="D17" s="1"/>
      <c r="E17" s="1"/>
      <c r="F17" s="5"/>
    </row>
    <row r="18" spans="1:6" ht="18" customHeight="1">
      <c r="A18" s="68"/>
      <c r="B18" s="1"/>
      <c r="C18" s="1"/>
      <c r="D18" s="1"/>
      <c r="E18" s="1"/>
      <c r="F18" s="5"/>
    </row>
    <row r="19" spans="1:6" ht="18" customHeight="1">
      <c r="A19" s="68"/>
      <c r="B19" s="1"/>
      <c r="C19" s="1"/>
      <c r="D19" s="1"/>
      <c r="E19" s="1"/>
      <c r="F19" s="5"/>
    </row>
    <row r="20" spans="1:6" ht="18" customHeight="1">
      <c r="A20" s="68"/>
      <c r="B20" s="1"/>
      <c r="C20" s="1"/>
      <c r="D20" s="1"/>
      <c r="E20" s="1"/>
      <c r="F20" s="5"/>
    </row>
    <row r="21" spans="1:6" ht="18" customHeight="1">
      <c r="A21" s="68"/>
      <c r="B21" s="1"/>
      <c r="C21" s="1"/>
      <c r="D21" s="1"/>
      <c r="E21" s="1"/>
      <c r="F21" s="5"/>
    </row>
    <row r="22" spans="1:6" ht="18" customHeight="1">
      <c r="A22" s="68"/>
      <c r="B22" s="1"/>
      <c r="C22" s="1"/>
      <c r="D22" s="1"/>
      <c r="E22" s="1"/>
      <c r="F22" s="5"/>
    </row>
    <row r="23" spans="1:6" ht="18" customHeight="1">
      <c r="A23" s="68"/>
      <c r="B23" s="1"/>
      <c r="C23" s="1"/>
      <c r="D23" s="1"/>
      <c r="E23" s="1"/>
      <c r="F23" s="5"/>
    </row>
    <row r="24" spans="1:6" ht="18" customHeight="1">
      <c r="A24" s="68"/>
      <c r="B24" s="1"/>
      <c r="C24" s="1"/>
      <c r="D24" s="1"/>
      <c r="E24" s="1"/>
      <c r="F24" s="5"/>
    </row>
    <row r="25" spans="1:6" ht="18" customHeight="1">
      <c r="A25" s="68"/>
      <c r="B25" s="1"/>
      <c r="C25" s="1"/>
      <c r="D25" s="1"/>
      <c r="E25" s="1"/>
      <c r="F25" s="5"/>
    </row>
    <row r="26" spans="1:6" ht="18" customHeight="1">
      <c r="A26" s="68"/>
      <c r="B26" s="1"/>
      <c r="C26" s="1"/>
      <c r="D26" s="1"/>
      <c r="E26" s="1"/>
      <c r="F26" s="5"/>
    </row>
  </sheetData>
  <printOptions/>
  <pageMargins left="0.7" right="0.7" top="0.75" bottom="0.75" header="0.3" footer="0.3"/>
  <pageSetup fitToHeight="0" fitToWidth="1"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17"/>
  <sheetViews>
    <sheetView showGridLines="0" workbookViewId="0" topLeftCell="A1">
      <selection activeCell="A7" sqref="A7"/>
    </sheetView>
  </sheetViews>
  <sheetFormatPr defaultColWidth="9.140625" defaultRowHeight="15"/>
  <cols>
    <col min="1" max="1" width="49.421875" style="0" customWidth="1"/>
    <col min="2" max="2" width="27.28125" style="0" customWidth="1"/>
    <col min="3" max="3" width="44.8515625" style="0" customWidth="1"/>
  </cols>
  <sheetData>
    <row r="1" spans="1:3" ht="31.5" customHeight="1">
      <c r="A1" s="228" t="s">
        <v>105</v>
      </c>
      <c r="B1" s="229"/>
      <c r="C1" s="230"/>
    </row>
    <row r="2" spans="1:3" ht="15">
      <c r="A2" s="195" t="s">
        <v>90</v>
      </c>
      <c r="B2" s="196"/>
      <c r="C2" s="197"/>
    </row>
    <row r="3" spans="1:3" ht="15">
      <c r="A3" s="223" t="s">
        <v>135</v>
      </c>
      <c r="B3" s="204"/>
      <c r="C3" s="224"/>
    </row>
    <row r="4" spans="1:3" ht="15">
      <c r="A4" s="223" t="s">
        <v>134</v>
      </c>
      <c r="B4" s="204"/>
      <c r="C4" s="224"/>
    </row>
    <row r="5" spans="1:3" ht="15">
      <c r="A5" s="198" t="s">
        <v>133</v>
      </c>
      <c r="B5" s="199"/>
      <c r="C5" s="200"/>
    </row>
    <row r="6" spans="1:3" ht="21" customHeight="1">
      <c r="A6" s="72" t="s">
        <v>77</v>
      </c>
      <c r="B6" s="72" t="s">
        <v>88</v>
      </c>
      <c r="C6" s="72" t="s">
        <v>89</v>
      </c>
    </row>
    <row r="7" spans="1:3" ht="18" customHeight="1">
      <c r="A7" s="248" t="s">
        <v>78</v>
      </c>
      <c r="B7" s="247"/>
      <c r="C7" s="4"/>
    </row>
    <row r="8" spans="1:3" ht="18" customHeight="1">
      <c r="A8" s="248" t="s">
        <v>79</v>
      </c>
      <c r="B8" s="247"/>
      <c r="C8" s="4"/>
    </row>
    <row r="9" spans="1:3" ht="18" customHeight="1">
      <c r="A9" s="248" t="s">
        <v>80</v>
      </c>
      <c r="B9" s="247"/>
      <c r="C9" s="4"/>
    </row>
    <row r="10" spans="1:3" ht="18" customHeight="1">
      <c r="A10" s="248" t="s">
        <v>81</v>
      </c>
      <c r="B10" s="247"/>
      <c r="C10" s="4"/>
    </row>
    <row r="11" spans="1:3" ht="18" customHeight="1">
      <c r="A11" s="248" t="s">
        <v>82</v>
      </c>
      <c r="B11" s="247"/>
      <c r="C11" s="4"/>
    </row>
    <row r="12" spans="1:3" ht="18" customHeight="1">
      <c r="A12" s="248" t="s">
        <v>83</v>
      </c>
      <c r="B12" s="247"/>
      <c r="C12" s="4"/>
    </row>
    <row r="13" spans="1:3" ht="18" customHeight="1">
      <c r="A13" s="248" t="s">
        <v>84</v>
      </c>
      <c r="B13" s="247"/>
      <c r="C13" s="4"/>
    </row>
    <row r="14" spans="1:3" ht="18" customHeight="1">
      <c r="A14" s="248" t="s">
        <v>85</v>
      </c>
      <c r="B14" s="247"/>
      <c r="C14" s="4"/>
    </row>
    <row r="15" spans="1:3" ht="18" customHeight="1">
      <c r="A15" s="248" t="s">
        <v>86</v>
      </c>
      <c r="B15" s="247"/>
      <c r="C15" s="4"/>
    </row>
    <row r="16" spans="1:3" ht="18" customHeight="1">
      <c r="A16" s="248" t="s">
        <v>87</v>
      </c>
      <c r="B16" s="247"/>
      <c r="C16" s="4"/>
    </row>
    <row r="17" ht="15">
      <c r="A17" s="3"/>
    </row>
  </sheetData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C: Proposal Tables Attachments I, II, and IIA</dc:title>
  <dc:subject/>
  <dc:creator>Kurtz, Hayley R.</dc:creator>
  <cp:keywords/>
  <dc:description/>
  <cp:lastModifiedBy>Schoch, Jaimee</cp:lastModifiedBy>
  <cp:lastPrinted>2017-03-01T16:20:57Z</cp:lastPrinted>
  <dcterms:created xsi:type="dcterms:W3CDTF">2017-01-04T17:54:35Z</dcterms:created>
  <dcterms:modified xsi:type="dcterms:W3CDTF">2019-09-16T20:23:15Z</dcterms:modified>
  <cp:category/>
  <cp:version/>
  <cp:contentType/>
  <cp:contentStatus/>
</cp:coreProperties>
</file>